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45"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s>
  <definedNames/>
  <calcPr fullCalcOnLoad="1"/>
</workbook>
</file>

<file path=xl/sharedStrings.xml><?xml version="1.0" encoding="utf-8"?>
<sst xmlns="http://schemas.openxmlformats.org/spreadsheetml/2006/main" count="492" uniqueCount="208">
  <si>
    <t>NEW JERSEY INSURANCE UNDERWRITING ASSOCIATION</t>
  </si>
  <si>
    <t>BALANCE SHEET</t>
  </si>
  <si>
    <t>AT DECEMBER 31, 2015</t>
  </si>
  <si>
    <t>LEDGER ASSETS</t>
  </si>
  <si>
    <t>NON- ADMITTED ASSETS</t>
  </si>
  <si>
    <t>NET ADMITTED ASSETS</t>
  </si>
  <si>
    <t>ASSETS</t>
  </si>
  <si>
    <t xml:space="preserve">     BONDS</t>
  </si>
  <si>
    <t xml:space="preserve">     STOCKS</t>
  </si>
  <si>
    <t xml:space="preserve">     CASH &amp; SHORT-TERM INVESTMENTS</t>
  </si>
  <si>
    <t xml:space="preserve">     PREPAID EXPENSES</t>
  </si>
  <si>
    <t xml:space="preserve">     ACCRUED INTEREST</t>
  </si>
  <si>
    <t xml:space="preserve">     FURNITURE &amp; EQUIPMENT</t>
  </si>
  <si>
    <t xml:space="preserve">     EDP - EQUIPMENT &amp; SOFTWARE</t>
  </si>
  <si>
    <t xml:space="preserve">     PREMIUMS RECEIVABLE</t>
  </si>
  <si>
    <t xml:space="preserve">          TOTAL ASSETS</t>
  </si>
  <si>
    <t>LIABILITIES</t>
  </si>
  <si>
    <t xml:space="preserve">      POST RETIREMENT BENEFITS (other than pensions)</t>
  </si>
  <si>
    <t xml:space="preserve">      DEFINED BENEFIT PENSION PLAN</t>
  </si>
  <si>
    <t xml:space="preserve">      AMOUNTS HELD FOR OTHERS</t>
  </si>
  <si>
    <t xml:space="preserve">      ADVANCE PREMIUMS</t>
  </si>
  <si>
    <t xml:space="preserve">      RETURN PREMIUMS</t>
  </si>
  <si>
    <t xml:space="preserve">      OTHER PAYABLES</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</si>
  <si>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</si>
  <si>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</si>
  <si>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</si>
  <si>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</si>
  <si>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</si>
  <si>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</si>
  <si>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</si>
  <si>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</si>
  <si>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</si>
  <si>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</si>
  <si>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</si>
  <si>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</si>
  <si>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DECEMBER 31, 2015</t>
  </si>
  <si>
    <t>TOTAL LIABILITIES PLUS EQUITY ACCOUNT</t>
  </si>
  <si>
    <t xml:space="preserve"> INCOME STATEMENT</t>
  </si>
  <si>
    <t>DECEMBER 31, 2015</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</si>
  <si>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</si>
  <si>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</si>
  <si>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</si>
  <si>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</si>
  <si>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</si>
  <si>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</si>
  <si>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</si>
  <si>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</si>
  <si>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</si>
  <si>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</si>
  <si>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</si>
  <si>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t xml:space="preserve"> UNDERWRITING GAIN </t>
  </si>
  <si>
    <t>INVESTMENT INCOME</t>
  </si>
  <si>
    <t xml:space="preserve">     NET INVESTMENT INCOME EARNED</t>
  </si>
  <si>
    <r>
      <t xml:space="preserve">     NET REALIZED CAPITAL GAIN</t>
    </r>
    <r>
      <rPr>
        <sz val="11"/>
        <color indexed="10"/>
        <rFont val="Century Schoolbook"/>
        <family val="1"/>
      </rPr>
      <t xml:space="preserve"> </t>
    </r>
  </si>
  <si>
    <t xml:space="preserve">         NET INVESTMENT GAIN</t>
  </si>
  <si>
    <t>OTHER INCOME</t>
  </si>
  <si>
    <r>
      <t xml:space="preserve">       OTHER INCOME </t>
    </r>
  </si>
  <si>
    <t xml:space="preserve">       INSTALLMENT SERVICE FEE</t>
  </si>
  <si>
    <t xml:space="preserve">         TOTAL OTHER INCOME</t>
  </si>
  <si>
    <t xml:space="preserve"> NET GAIN</t>
  </si>
  <si>
    <t xml:space="preserve">     NET EQUITY - PRIOR</t>
  </si>
  <si>
    <r>
      <t xml:space="preserve">     NET GAIN </t>
    </r>
    <r>
      <rPr>
        <sz val="11"/>
        <rFont val="Century Schoolbook"/>
        <family val="1"/>
      </rPr>
      <t>FOR PERIOD</t>
    </r>
  </si>
  <si>
    <t xml:space="preserve">     MEMBER ASSESSMENT</t>
  </si>
  <si>
    <t xml:space="preserve">     CHANGE IN NONADMITTED ASSETS</t>
  </si>
  <si>
    <t xml:space="preserve">     CHANGE IN NET UNREALIZED CAPITAL LOSS</t>
  </si>
  <si>
    <t>CHANGE IN EQUITY</t>
  </si>
  <si>
    <t>NET EQUITY AT DECEMBER 31, 2015</t>
  </si>
  <si>
    <t xml:space="preserve"> EQUITY ACCOUNT</t>
  </si>
  <si>
    <t>QTD PERIOD ENDED DECEMBER 31, 2015</t>
  </si>
  <si>
    <t>POLICY YEAR 2015</t>
  </si>
  <si>
    <t>POLICY YEAR 2014</t>
  </si>
  <si>
    <t>POLICY YEAR 2013</t>
  </si>
  <si>
    <t>POLICY YEAR 2012</t>
  </si>
  <si>
    <t>TOTAL</t>
  </si>
  <si>
    <t>INCOME RECEIVED</t>
  </si>
  <si>
    <t xml:space="preserve">      PREMIUMS WRITTEN</t>
  </si>
  <si>
    <t xml:space="preserve">       OTHER INCOME (includes installment service fees)</t>
  </si>
  <si>
    <t xml:space="preserve">      INVESTMENT INCOME RECEIVED</t>
  </si>
  <si>
    <t xml:space="preserve">      NET REALIZED CAPITAL GAIN</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</si>
  <si>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</si>
  <si>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</si>
  <si>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</si>
  <si>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</si>
  <si>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</si>
  <si>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</si>
  <si>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</si>
  <si>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</si>
  <si>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</si>
  <si>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</si>
  <si>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</si>
  <si>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</si>
  <si>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</si>
  <si>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</si>
  <si>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</si>
  <si>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</si>
  <si>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</si>
  <si>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OTHER CHARGES/ADDITIONS TO EQUITY</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</si>
  <si>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</si>
  <si>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</si>
  <si>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</si>
  <si>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</si>
  <si>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</si>
  <si>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</si>
  <si>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</si>
  <si>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</si>
  <si>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</si>
  <si>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YTD PERIOD ENDED DECEMBER 31, 2015</t>
  </si>
  <si>
    <t>UNDERWRITING STATEMENT</t>
  </si>
  <si>
    <t>EARNED/INCURRED BASIS</t>
  </si>
  <si>
    <t>QTD PERIOD ENDING DECEMBER 31, 2015</t>
  </si>
  <si>
    <t/>
  </si>
  <si>
    <t>12-31-15</t>
  </si>
  <si>
    <t xml:space="preserve"> </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</si>
  <si>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</si>
  <si>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</si>
  <si>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</si>
  <si>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</si>
  <si>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</si>
  <si>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</si>
  <si>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</si>
  <si>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</si>
  <si>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</si>
  <si>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</si>
  <si>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</si>
  <si>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</si>
  <si>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</si>
  <si>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</si>
  <si>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</si>
  <si>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</si>
  <si>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</si>
  <si>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</si>
  <si>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</si>
  <si>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</si>
  <si>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</si>
  <si>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</si>
  <si>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</si>
  <si>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</si>
  <si>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</si>
  <si>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</si>
  <si>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</si>
  <si>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</si>
  <si>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</si>
  <si>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</si>
  <si>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</si>
  <si>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</si>
  <si>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</si>
  <si>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Gain</t>
  </si>
  <si>
    <t>Net Investment Income Received</t>
  </si>
  <si>
    <t>Current Accrued Interest</t>
  </si>
  <si>
    <t>Prior Accrued Interest</t>
  </si>
  <si>
    <t>Change in Accrued Interest</t>
  </si>
  <si>
    <t>Net Investment Income Earned</t>
  </si>
  <si>
    <t>Net Realized Capital Gain</t>
  </si>
  <si>
    <t>Net Investment Gain</t>
  </si>
  <si>
    <t>Othe Income (includes installment service fees)</t>
  </si>
  <si>
    <t>Net Gain</t>
  </si>
  <si>
    <t>YTD PERIOD ENDING DECEMBER 31, 2015</t>
  </si>
  <si>
    <t>STATISTICAL REPORT ON PREMIUMS</t>
  </si>
  <si>
    <t>*SEE NOTE BELOW</t>
  </si>
  <si>
    <t>WRITTEN PREMIUMS</t>
  </si>
  <si>
    <t xml:space="preserve">     FIRE</t>
  </si>
  <si>
    <t xml:space="preserve">     ALLIED </t>
  </si>
  <si>
    <t xml:space="preserve">     CRIME</t>
  </si>
  <si>
    <t xml:space="preserve">            TOTAL</t>
  </si>
  <si>
    <t>CURRENT UNEARNED PREMIUM RESERVE              @ 12-31-15</t>
  </si>
  <si>
    <t xml:space="preserve">    ALLIED </t>
  </si>
  <si>
    <t xml:space="preserve">    CRIME</t>
  </si>
  <si>
    <t>PRIOR UNEARNED PREMIUM RESERVE                     @ 09-30-15</t>
  </si>
  <si>
    <t>EARNED PREMIUM</t>
  </si>
  <si>
    <t>*Note: The Terrorism Risk Insurance Program Reauthorization Act of 2007 requires insurers to report direct earned premium for commercial business written.                                                         This amount is shown on page 8.</t>
  </si>
  <si>
    <t>PRIOR UNEARNED PREMIUM RESERVE                     @ 12-31-14</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</si>
  <si>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eight quarters:</t>
  </si>
  <si>
    <t>1-4 Family Tenant-Occupied</t>
  </si>
  <si>
    <t>Commercial</t>
  </si>
  <si>
    <t>Total TRIA</t>
  </si>
  <si>
    <r>
      <t xml:space="preserve">       1Q14       </t>
    </r>
    <r>
      <rPr>
        <sz val="9"/>
        <rFont val="Century Schoolbook"/>
        <family val="1"/>
      </rPr>
      <t>$120,676</t>
    </r>
  </si>
  <si>
    <r>
      <t xml:space="preserve">       1Q15       </t>
    </r>
    <r>
      <rPr>
        <sz val="9"/>
        <rFont val="Century Schoolbook"/>
        <family val="1"/>
      </rPr>
      <t>$103,113</t>
    </r>
  </si>
  <si>
    <r>
      <t xml:space="preserve">       2Q14       </t>
    </r>
    <r>
      <rPr>
        <sz val="9"/>
        <rFont val="Century Schoolbook"/>
        <family val="1"/>
      </rPr>
      <t>$118,191</t>
    </r>
  </si>
  <si>
    <r>
      <t xml:space="preserve">       2Q15       </t>
    </r>
    <r>
      <rPr>
        <sz val="9"/>
        <rFont val="Century Schoolbook"/>
        <family val="1"/>
      </rPr>
      <t>$102,393</t>
    </r>
  </si>
  <si>
    <r>
      <t xml:space="preserve">       3Q14       </t>
    </r>
    <r>
      <rPr>
        <sz val="9"/>
        <rFont val="Century Schoolbook"/>
        <family val="1"/>
      </rPr>
      <t>$115,639</t>
    </r>
  </si>
  <si>
    <r>
      <t xml:space="preserve">       3Q15       </t>
    </r>
    <r>
      <rPr>
        <sz val="9"/>
        <rFont val="Century Schoolbook"/>
        <family val="1"/>
      </rPr>
      <t>$104,201</t>
    </r>
  </si>
  <si>
    <r>
      <t xml:space="preserve">       4Q14       </t>
    </r>
    <r>
      <rPr>
        <sz val="9"/>
        <rFont val="Century Schoolbook"/>
        <family val="1"/>
      </rPr>
      <t>$107,740</t>
    </r>
  </si>
  <si>
    <r>
      <t xml:space="preserve">       4Q15       </t>
    </r>
    <r>
      <rPr>
        <sz val="9"/>
        <rFont val="Century Schoolbook"/>
        <family val="1"/>
      </rPr>
      <t>$101,431</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</si>
  <si>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</si>
  <si>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</si>
  <si>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 xml:space="preserve">PAID LOSSES </t>
  </si>
  <si>
    <t>Net of Salvage &amp; Subrogation Received</t>
  </si>
  <si>
    <t xml:space="preserve">      FIRE</t>
  </si>
  <si>
    <t>CURRENT CASE BASIS RESERVES (12-31-15)</t>
  </si>
  <si>
    <t xml:space="preserve">       FIRE</t>
  </si>
  <si>
    <t xml:space="preserve">       ALLIED </t>
  </si>
  <si>
    <t xml:space="preserve">       CRIME</t>
  </si>
  <si>
    <t>CURRENT I.B.N.R. RESERVES (12-31-15)</t>
  </si>
  <si>
    <t>PRIOR LOSS RESERVES (09-30-15)</t>
  </si>
  <si>
    <t>(Including I.B.N.R. Reserves)</t>
  </si>
  <si>
    <t>INCURRED LOSSES</t>
  </si>
  <si>
    <t>PRIOR LOSS RESERVES (12-31-14)</t>
  </si>
  <si>
    <t>STATISTICAL REPORT ON LOSS EXPENSES</t>
  </si>
  <si>
    <t>(INCLUDES ALLOCATED AND UNALLOCATED LOSS EXPENSES)</t>
  </si>
  <si>
    <t>LOSS EXPENSES PAID                                      (ALAE AND ULAE)</t>
  </si>
  <si>
    <t>FIRE</t>
  </si>
  <si>
    <t xml:space="preserve">ALLIED </t>
  </si>
  <si>
    <t>CRIME</t>
  </si>
  <si>
    <t>CURRENT LOSS EXPENSE RESERVES               @ 12-31-15</t>
  </si>
  <si>
    <t>PRIOR LOSS  EXPENSE RESERVES                     @ 09-30-15</t>
  </si>
  <si>
    <t>ALLIED</t>
  </si>
  <si>
    <t>ALAE &amp; ULAE LOSS EXPENSES  INCURRED</t>
  </si>
  <si>
    <t>PRIOR LOSS  EXPENSE RESERVES                     @ 12-31-14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</si>
</sst>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Red]\ \(0%\)"/>
    <numFmt numFmtId="166" formatCode="&quot;$&quot;#,##0;[Red]&quot;$&quot;#,##0"/>
    <numFmt numFmtId="167" formatCode="&quot;$&quot;#,##0.000_);\(&quot;$&quot;#,##0.000\)"/>
  </numFmts>
  <fonts count="69">
    <font>
      <sz val="11"/>
      <color theme="1"/>
      <name val="Calibri"/>
      <family val="2"/>
    </font>
    <font>
      <sz val="11"/>
      <color indexed="8"/>
      <name val="Calibri"/>
      <family val="2"/>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b/>
      <sz val="54"/>
      <color indexed="10"/>
      <name val="Calibri"/>
      <family val="2"/>
    </font>
    <font>
      <sz val="11"/>
      <name val="Century Schoolbook"/>
      <family val="1"/>
    </font>
    <font>
      <b/>
      <sz val="11"/>
      <color indexed="8"/>
      <name val="Century Schoolbook"/>
      <family val="1"/>
    </font>
    <font>
      <b/>
      <u val="single"/>
      <sz val="11"/>
      <name val="Century Schoolbook"/>
      <family val="1"/>
    </font>
    <font>
      <b/>
      <sz val="11"/>
      <name val="Century Schoolbook"/>
      <family val="1"/>
    </font>
    <font>
      <b/>
      <i/>
      <sz val="11"/>
      <name val="Century Schoolbook"/>
      <family val="1"/>
    </font>
    <font>
      <b/>
      <i/>
      <sz val="10"/>
      <name val="Century Schoolbook"/>
      <family val="1"/>
    </font>
    <font>
      <sz val="10"/>
      <name val="Century Schoolbook"/>
      <family val="1"/>
    </font>
    <font>
      <sz val="11"/>
      <color indexed="10"/>
      <name val="Century Schoolbook"/>
      <family val="1"/>
    </font>
    <font>
      <sz val="9"/>
      <name val="Century Schoolbook"/>
      <family val="1"/>
    </font>
    <font>
      <i/>
      <sz val="10"/>
      <color indexed="8"/>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sz val="11"/>
      <color indexed="8"/>
      <name val="Century Schoolbook"/>
      <family val="1"/>
    </font>
    <font>
      <b/>
      <sz val="11"/>
      <color indexed="9"/>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b/>
      <sz val="10"/>
      <name val="Century Schoolbook"/>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i/>
      <sz val="10"/>
      <color theme="1"/>
      <name val="Century Schoolbook"/>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style="thin"/>
      <right/>
      <top/>
      <bottom/>
    </border>
    <border>
      <left/>
      <right style="thin"/>
      <top style="thin"/>
      <bottom style="double"/>
    </border>
    <border>
      <left style="thin"/>
      <right/>
      <top style="thin"/>
      <bottom/>
    </border>
    <border>
      <left/>
      <right/>
      <top style="thin"/>
      <bottom/>
    </border>
    <border>
      <left style="thin"/>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9">
    <xf numFmtId="0" fontId="0" fillId="0" borderId="0" xfId="0" applyFont="1" applyAlignment="1">
      <alignment/>
    </xf>
    <xf numFmtId="0" fontId="4" fillId="0" borderId="0" xfId="60" applyFont="1">
      <alignment/>
      <protection/>
    </xf>
    <xf numFmtId="0" fontId="7" fillId="0" borderId="0" xfId="60" applyFont="1">
      <alignment/>
      <protection/>
    </xf>
    <xf numFmtId="0" fontId="67" fillId="0" borderId="0" xfId="60" applyFont="1" applyAlignment="1">
      <alignment horizontal="center"/>
      <protection/>
    </xf>
    <xf numFmtId="7" fontId="7" fillId="0" borderId="0" xfId="60" applyNumberFormat="1" applyFont="1" applyFill="1" applyBorder="1" applyAlignment="1" quotePrefix="1">
      <alignment horizontal="center"/>
      <protection/>
    </xf>
    <xf numFmtId="7" fontId="9" fillId="0" borderId="0" xfId="60" applyNumberFormat="1" applyFont="1" applyFill="1" applyBorder="1">
      <alignment/>
      <protection/>
    </xf>
    <xf numFmtId="5" fontId="10" fillId="33" borderId="0" xfId="44" applyNumberFormat="1" applyFont="1" applyFill="1" applyBorder="1" applyAlignment="1">
      <alignment horizontal="center" wrapText="1"/>
    </xf>
    <xf numFmtId="0" fontId="9" fillId="0" borderId="0" xfId="60" applyFont="1">
      <alignment/>
      <protection/>
    </xf>
    <xf numFmtId="7" fontId="11" fillId="0" borderId="0" xfId="60" applyNumberFormat="1" applyFont="1" applyFill="1" applyBorder="1" applyAlignment="1">
      <alignment horizontal="left" wrapText="1"/>
      <protection/>
    </xf>
    <xf numFmtId="5" fontId="9" fillId="0" borderId="10" xfId="44" applyNumberFormat="1" applyFont="1" applyFill="1" applyBorder="1" applyAlignment="1">
      <alignment horizontal="right"/>
    </xf>
    <xf numFmtId="7" fontId="9" fillId="0" borderId="0" xfId="48" applyNumberFormat="1" applyFont="1" applyFill="1" applyBorder="1" applyAlignment="1">
      <alignment horizontal="left"/>
    </xf>
    <xf numFmtId="5" fontId="9" fillId="0" borderId="11" xfId="45" applyNumberFormat="1" applyFont="1" applyFill="1" applyBorder="1" applyAlignment="1">
      <alignment horizontal="right"/>
    </xf>
    <xf numFmtId="43" fontId="12" fillId="0" borderId="11" xfId="44" applyFont="1" applyFill="1" applyBorder="1" applyAlignment="1">
      <alignment horizontal="right"/>
    </xf>
    <xf numFmtId="164" fontId="9" fillId="0" borderId="11" xfId="45" applyNumberFormat="1" applyFont="1" applyFill="1" applyBorder="1" applyAlignment="1">
      <alignment horizontal="right"/>
    </xf>
    <xf numFmtId="43" fontId="12" fillId="0" borderId="11" xfId="45" applyFont="1" applyFill="1" applyBorder="1" applyAlignment="1">
      <alignment horizontal="right"/>
    </xf>
    <xf numFmtId="164" fontId="9" fillId="0" borderId="11" xfId="44" applyNumberFormat="1" applyFont="1" applyFill="1" applyBorder="1" applyAlignment="1">
      <alignment horizontal="right"/>
    </xf>
    <xf numFmtId="43" fontId="9" fillId="0" borderId="0" xfId="60" applyNumberFormat="1" applyFont="1">
      <alignment/>
      <protection/>
    </xf>
    <xf numFmtId="7" fontId="12" fillId="0" borderId="0" xfId="48" applyNumberFormat="1" applyFont="1" applyFill="1" applyBorder="1" applyAlignment="1">
      <alignment horizontal="center" wrapText="1"/>
    </xf>
    <xf numFmtId="5" fontId="12" fillId="0" borderId="12" xfId="44" applyNumberFormat="1" applyFont="1" applyFill="1" applyBorder="1" applyAlignment="1">
      <alignment horizontal="right"/>
    </xf>
    <xf numFmtId="43" fontId="9" fillId="0" borderId="0" xfId="44" applyNumberFormat="1" applyFont="1" applyFill="1" applyBorder="1" applyAlignment="1">
      <alignment horizontal="right"/>
    </xf>
    <xf numFmtId="7" fontId="9" fillId="0" borderId="0" xfId="60" applyNumberFormat="1" applyFont="1">
      <alignment/>
      <protection/>
    </xf>
    <xf numFmtId="5" fontId="12" fillId="0" borderId="0" xfId="44" applyNumberFormat="1" applyFont="1" applyFill="1" applyBorder="1" applyAlignment="1">
      <alignment horizontal="right"/>
    </xf>
    <xf numFmtId="7" fontId="11" fillId="0" borderId="0" xfId="48" applyNumberFormat="1" applyFont="1" applyFill="1" applyBorder="1" applyAlignment="1">
      <alignment horizontal="left" wrapText="1"/>
    </xf>
    <xf numFmtId="5" fontId="9" fillId="0" borderId="0" xfId="44" applyNumberFormat="1" applyFont="1" applyFill="1" applyBorder="1" applyAlignment="1">
      <alignment horizontal="right"/>
    </xf>
    <xf numFmtId="41" fontId="9" fillId="0" borderId="0" xfId="44" applyNumberFormat="1" applyFont="1" applyFill="1" applyBorder="1" applyAlignment="1">
      <alignment horizontal="right"/>
    </xf>
    <xf numFmtId="43" fontId="9" fillId="0" borderId="0" xfId="44" applyFont="1" applyFill="1" applyBorder="1" applyAlignment="1">
      <alignment horizontal="right"/>
    </xf>
    <xf numFmtId="41" fontId="9" fillId="0" borderId="13" xfId="44" applyNumberFormat="1" applyFont="1" applyFill="1" applyBorder="1" applyAlignment="1">
      <alignment horizontal="right"/>
    </xf>
    <xf numFmtId="5" fontId="9" fillId="0" borderId="0" xfId="44" applyNumberFormat="1" applyFont="1" applyBorder="1" applyAlignment="1">
      <alignment horizontal="right"/>
    </xf>
    <xf numFmtId="164" fontId="12" fillId="0" borderId="0" xfId="44" applyNumberFormat="1" applyFont="1" applyFill="1" applyBorder="1" applyAlignment="1">
      <alignment horizontal="right"/>
    </xf>
    <xf numFmtId="7" fontId="9" fillId="0" borderId="0" xfId="48" applyNumberFormat="1" applyFont="1" applyFill="1" applyBorder="1" applyAlignment="1">
      <alignment horizontal="right" wrapText="1"/>
    </xf>
    <xf numFmtId="38" fontId="9" fillId="0" borderId="0" xfId="60" applyNumberFormat="1" applyFont="1">
      <alignment/>
      <protection/>
    </xf>
    <xf numFmtId="165" fontId="9" fillId="0" borderId="0" xfId="60" applyNumberFormat="1" applyFont="1" applyBorder="1" applyAlignment="1">
      <alignment horizontal="center"/>
      <protection/>
    </xf>
    <xf numFmtId="7" fontId="12" fillId="0" borderId="0" xfId="48" applyNumberFormat="1" applyFont="1" applyFill="1" applyBorder="1" applyAlignment="1">
      <alignment horizontal="left"/>
    </xf>
    <xf numFmtId="5" fontId="12" fillId="0" borderId="13" xfId="44" applyNumberFormat="1" applyFont="1" applyFill="1" applyBorder="1" applyAlignment="1">
      <alignment horizontal="right"/>
    </xf>
    <xf numFmtId="164" fontId="12" fillId="0" borderId="14" xfId="44" applyNumberFormat="1" applyFont="1" applyFill="1" applyBorder="1" applyAlignment="1">
      <alignment horizontal="right"/>
    </xf>
    <xf numFmtId="38" fontId="12" fillId="0" borderId="0" xfId="44" applyNumberFormat="1" applyFont="1" applyFill="1" applyBorder="1" applyAlignment="1">
      <alignment horizontal="right"/>
    </xf>
    <xf numFmtId="5" fontId="9" fillId="0" borderId="0" xfId="60" applyNumberFormat="1" applyFont="1">
      <alignment/>
      <protection/>
    </xf>
    <xf numFmtId="166" fontId="12" fillId="0" borderId="15" xfId="49" applyNumberFormat="1" applyFont="1" applyFill="1" applyBorder="1" applyAlignment="1">
      <alignment horizontal="right"/>
    </xf>
    <xf numFmtId="42" fontId="9" fillId="0" borderId="0" xfId="48" applyFont="1" applyFill="1" applyAlignment="1">
      <alignment horizontal="right" wrapText="1"/>
    </xf>
    <xf numFmtId="5" fontId="9" fillId="0" borderId="0" xfId="44" applyNumberFormat="1" applyFont="1" applyFill="1" applyAlignment="1">
      <alignment horizontal="right"/>
    </xf>
    <xf numFmtId="5" fontId="9" fillId="0" borderId="0" xfId="44" applyNumberFormat="1" applyFont="1" applyAlignment="1">
      <alignment horizontal="right"/>
    </xf>
    <xf numFmtId="0" fontId="13" fillId="0" borderId="0" xfId="60" applyFont="1">
      <alignment/>
      <protection/>
    </xf>
    <xf numFmtId="5" fontId="13" fillId="0" borderId="0" xfId="44" applyNumberFormat="1" applyFont="1" applyAlignment="1" quotePrefix="1">
      <alignment horizontal="right"/>
    </xf>
    <xf numFmtId="5" fontId="13" fillId="0" borderId="0" xfId="44" applyNumberFormat="1" applyFont="1" applyAlignment="1">
      <alignment horizontal="right"/>
    </xf>
    <xf numFmtId="0" fontId="14" fillId="0" borderId="0" xfId="60" applyFont="1">
      <alignment/>
      <protection/>
    </xf>
    <xf numFmtId="5" fontId="14" fillId="0" borderId="0" xfId="44" applyNumberFormat="1" applyFont="1" applyAlignment="1">
      <alignment horizontal="right"/>
    </xf>
    <xf numFmtId="5" fontId="14" fillId="0" borderId="0" xfId="44" applyNumberFormat="1" applyFont="1" applyAlignment="1" quotePrefix="1">
      <alignment horizontal="right"/>
    </xf>
    <xf numFmtId="0" fontId="12" fillId="0" borderId="0" xfId="60" applyFont="1" applyBorder="1">
      <alignment/>
      <protection/>
    </xf>
    <xf numFmtId="0" fontId="5" fillId="0" borderId="0" xfId="60" applyFont="1">
      <alignment/>
      <protection/>
    </xf>
    <xf numFmtId="0" fontId="15" fillId="0" borderId="0" xfId="60" applyFont="1" applyBorder="1">
      <alignment/>
      <protection/>
    </xf>
    <xf numFmtId="7" fontId="6" fillId="0" borderId="0" xfId="60" applyNumberFormat="1" applyFont="1" applyBorder="1" applyAlignment="1">
      <alignment horizontal="centerContinuous"/>
      <protection/>
    </xf>
    <xf numFmtId="7" fontId="15" fillId="0" borderId="0" xfId="44" applyNumberFormat="1" applyFont="1" applyBorder="1" applyAlignment="1">
      <alignment horizontal="centerContinuous"/>
    </xf>
    <xf numFmtId="7" fontId="9" fillId="0" borderId="0" xfId="60" applyNumberFormat="1" applyFont="1" applyBorder="1">
      <alignment/>
      <protection/>
    </xf>
    <xf numFmtId="7" fontId="12" fillId="33" borderId="13" xfId="44" applyNumberFormat="1" applyFont="1" applyFill="1" applyBorder="1" applyAlignment="1">
      <alignment horizontal="centerContinuous"/>
    </xf>
    <xf numFmtId="7" fontId="12" fillId="33" borderId="0" xfId="44" applyNumberFormat="1" applyFont="1" applyFill="1" applyBorder="1" applyAlignment="1">
      <alignment horizontal="centerContinuous"/>
    </xf>
    <xf numFmtId="0" fontId="9" fillId="0" borderId="0" xfId="60" applyFont="1" applyBorder="1">
      <alignment/>
      <protection/>
    </xf>
    <xf numFmtId="7" fontId="11" fillId="0" borderId="0" xfId="44" applyNumberFormat="1" applyFont="1" applyBorder="1" applyAlignment="1">
      <alignment/>
    </xf>
    <xf numFmtId="7" fontId="11" fillId="0" borderId="16" xfId="44" applyNumberFormat="1" applyFont="1" applyBorder="1" applyAlignment="1">
      <alignment/>
    </xf>
    <xf numFmtId="7" fontId="11" fillId="0" borderId="0" xfId="60" applyNumberFormat="1" applyFont="1" applyBorder="1">
      <alignment/>
      <protection/>
    </xf>
    <xf numFmtId="7" fontId="11" fillId="0" borderId="17" xfId="44" applyNumberFormat="1" applyFont="1" applyBorder="1" applyAlignment="1">
      <alignment/>
    </xf>
    <xf numFmtId="7" fontId="9" fillId="0" borderId="0" xfId="44" applyNumberFormat="1" applyFont="1" applyBorder="1" applyAlignment="1">
      <alignment/>
    </xf>
    <xf numFmtId="5" fontId="12" fillId="0" borderId="17" xfId="44" applyNumberFormat="1" applyFont="1" applyBorder="1" applyAlignment="1">
      <alignment/>
    </xf>
    <xf numFmtId="7" fontId="9" fillId="0" borderId="17" xfId="44" applyNumberFormat="1" applyFont="1" applyBorder="1" applyAlignment="1">
      <alignment/>
    </xf>
    <xf numFmtId="164" fontId="9" fillId="0" borderId="0" xfId="44" applyNumberFormat="1" applyFont="1" applyBorder="1" applyAlignment="1">
      <alignment/>
    </xf>
    <xf numFmtId="7" fontId="12" fillId="0" borderId="17" xfId="44" applyNumberFormat="1" applyFont="1" applyBorder="1" applyAlignment="1">
      <alignment/>
    </xf>
    <xf numFmtId="164" fontId="9" fillId="0" borderId="13" xfId="44" applyNumberFormat="1" applyFont="1" applyBorder="1" applyAlignment="1">
      <alignment/>
    </xf>
    <xf numFmtId="7" fontId="12" fillId="0" borderId="0" xfId="44" applyNumberFormat="1" applyFont="1" applyBorder="1" applyAlignment="1">
      <alignment/>
    </xf>
    <xf numFmtId="164" fontId="9" fillId="0" borderId="18" xfId="44" applyNumberFormat="1" applyFont="1" applyBorder="1" applyAlignment="1">
      <alignment/>
    </xf>
    <xf numFmtId="164" fontId="9" fillId="0" borderId="17" xfId="44" applyNumberFormat="1" applyFont="1" applyBorder="1" applyAlignment="1">
      <alignment/>
    </xf>
    <xf numFmtId="38" fontId="9" fillId="0" borderId="17" xfId="44" applyNumberFormat="1" applyFont="1" applyBorder="1" applyAlignment="1">
      <alignment/>
    </xf>
    <xf numFmtId="43" fontId="12" fillId="0" borderId="17" xfId="44" applyFont="1" applyBorder="1" applyAlignment="1">
      <alignment/>
    </xf>
    <xf numFmtId="38" fontId="9" fillId="0" borderId="13" xfId="44" applyNumberFormat="1" applyFont="1" applyBorder="1" applyAlignment="1">
      <alignment/>
    </xf>
    <xf numFmtId="43" fontId="12" fillId="0" borderId="0" xfId="44" applyNumberFormat="1" applyFont="1" applyBorder="1" applyAlignment="1">
      <alignment/>
    </xf>
    <xf numFmtId="38" fontId="9" fillId="0" borderId="0" xfId="44" applyNumberFormat="1" applyFont="1" applyBorder="1" applyAlignment="1">
      <alignment/>
    </xf>
    <xf numFmtId="38" fontId="9" fillId="0" borderId="0" xfId="60" applyNumberFormat="1" applyFont="1" applyBorder="1">
      <alignment/>
      <protection/>
    </xf>
    <xf numFmtId="38" fontId="9" fillId="0" borderId="19" xfId="44" applyNumberFormat="1" applyFont="1" applyBorder="1" applyAlignment="1">
      <alignment/>
    </xf>
    <xf numFmtId="43" fontId="12" fillId="0" borderId="20" xfId="44" applyFont="1" applyBorder="1" applyAlignment="1">
      <alignment/>
    </xf>
    <xf numFmtId="7" fontId="9" fillId="0" borderId="0" xfId="0" applyNumberFormat="1" applyFont="1" applyBorder="1" applyAlignment="1">
      <alignment/>
    </xf>
    <xf numFmtId="41" fontId="9" fillId="0" borderId="0" xfId="44" applyNumberFormat="1" applyFont="1" applyBorder="1" applyAlignment="1">
      <alignment/>
    </xf>
    <xf numFmtId="43" fontId="9" fillId="0" borderId="0" xfId="44" applyFont="1" applyBorder="1" applyAlignment="1">
      <alignment/>
    </xf>
    <xf numFmtId="43" fontId="9" fillId="0" borderId="21" xfId="44" applyFont="1" applyBorder="1" applyAlignment="1">
      <alignment/>
    </xf>
    <xf numFmtId="7" fontId="12" fillId="0" borderId="0" xfId="60" applyNumberFormat="1" applyFont="1" applyBorder="1">
      <alignment/>
      <protection/>
    </xf>
    <xf numFmtId="7" fontId="9" fillId="0" borderId="18" xfId="44" applyNumberFormat="1" applyFont="1" applyBorder="1" applyAlignment="1">
      <alignment/>
    </xf>
    <xf numFmtId="0" fontId="17" fillId="0" borderId="0" xfId="60" applyFont="1" applyBorder="1">
      <alignment/>
      <protection/>
    </xf>
    <xf numFmtId="6" fontId="12" fillId="0" borderId="22" xfId="44" applyNumberFormat="1" applyFont="1" applyBorder="1" applyAlignment="1">
      <alignment/>
    </xf>
    <xf numFmtId="0" fontId="68" fillId="0" borderId="0" xfId="0" applyFont="1" applyAlignment="1">
      <alignment/>
    </xf>
    <xf numFmtId="0" fontId="20" fillId="0" borderId="0" xfId="60" applyFont="1" applyFill="1" applyBorder="1">
      <alignment/>
      <protection/>
    </xf>
    <xf numFmtId="0" fontId="5" fillId="0" borderId="0" xfId="60" applyFont="1" applyAlignment="1">
      <alignment/>
      <protection/>
    </xf>
    <xf numFmtId="0" fontId="21" fillId="0" borderId="0" xfId="60" applyFont="1" applyFill="1" applyBorder="1">
      <alignment/>
      <protection/>
    </xf>
    <xf numFmtId="43" fontId="5" fillId="0" borderId="0" xfId="60" applyNumberFormat="1" applyFont="1" applyFill="1" applyBorder="1" applyAlignment="1">
      <alignment horizontal="centerContinuous"/>
      <protection/>
    </xf>
    <xf numFmtId="0" fontId="5" fillId="0" borderId="0" xfId="60" applyFont="1" applyFill="1" applyBorder="1" applyAlignment="1">
      <alignment horizontal="centerContinuous"/>
      <protection/>
    </xf>
    <xf numFmtId="43" fontId="5" fillId="0" borderId="0" xfId="44" applyFont="1" applyFill="1" applyBorder="1" applyAlignment="1">
      <alignment horizontal="centerContinuous"/>
    </xf>
    <xf numFmtId="43" fontId="22" fillId="0" borderId="0" xfId="44" applyFont="1" applyBorder="1" applyAlignment="1">
      <alignment horizontal="centerContinuous"/>
    </xf>
    <xf numFmtId="43" fontId="22" fillId="0" borderId="0" xfId="44" applyFont="1" applyFill="1" applyBorder="1" applyAlignment="1">
      <alignment horizontal="centerContinuous"/>
    </xf>
    <xf numFmtId="0" fontId="22" fillId="0" borderId="0" xfId="60" applyFont="1" applyFill="1" applyBorder="1">
      <alignment/>
      <protection/>
    </xf>
    <xf numFmtId="43" fontId="12" fillId="0" borderId="0" xfId="60" applyNumberFormat="1" applyFont="1" applyFill="1" applyBorder="1" applyAlignment="1">
      <alignment horizontal="left" wrapText="1"/>
      <protection/>
    </xf>
    <xf numFmtId="43" fontId="23" fillId="33" borderId="0" xfId="44" applyFont="1" applyFill="1" applyAlignment="1">
      <alignment horizontal="center" wrapText="1"/>
    </xf>
    <xf numFmtId="43" fontId="23" fillId="33" borderId="0" xfId="44" applyFont="1" applyFill="1" applyBorder="1" applyAlignment="1">
      <alignment horizontal="center" wrapText="1"/>
    </xf>
    <xf numFmtId="0" fontId="12" fillId="0" borderId="0" xfId="60" applyFont="1" applyFill="1" applyBorder="1" applyAlignment="1">
      <alignment horizontal="left" wrapText="1"/>
      <protection/>
    </xf>
    <xf numFmtId="43" fontId="11" fillId="0" borderId="0" xfId="60" applyNumberFormat="1" applyFont="1" applyFill="1" applyBorder="1" applyAlignment="1">
      <alignment horizontal="left" wrapText="1"/>
      <protection/>
    </xf>
    <xf numFmtId="0" fontId="11" fillId="0" borderId="0" xfId="60" applyFont="1" applyFill="1" applyBorder="1" applyAlignment="1">
      <alignment horizontal="left" wrapText="1"/>
      <protection/>
    </xf>
    <xf numFmtId="43" fontId="11" fillId="0" borderId="0" xfId="44" applyFont="1" applyFill="1" applyBorder="1" applyAlignment="1">
      <alignment horizontal="left" wrapText="1"/>
    </xf>
    <xf numFmtId="0" fontId="9" fillId="0" borderId="0" xfId="60" applyFont="1" applyFill="1" applyBorder="1" applyAlignment="1">
      <alignment horizontal="left" wrapText="1"/>
      <protection/>
    </xf>
    <xf numFmtId="43" fontId="9" fillId="0" borderId="0" xfId="60" applyNumberFormat="1" applyFont="1" applyFill="1" applyBorder="1" applyAlignment="1">
      <alignment/>
      <protection/>
    </xf>
    <xf numFmtId="6" fontId="9" fillId="0" borderId="0" xfId="49" applyNumberFormat="1" applyFont="1" applyFill="1" applyBorder="1" applyAlignment="1">
      <alignment/>
    </xf>
    <xf numFmtId="43" fontId="12" fillId="0" borderId="0" xfId="44" applyNumberFormat="1" applyFont="1" applyFill="1" applyBorder="1" applyAlignment="1">
      <alignment/>
    </xf>
    <xf numFmtId="0" fontId="9" fillId="0" borderId="0" xfId="60" applyFont="1" applyFill="1" applyBorder="1">
      <alignment/>
      <protection/>
    </xf>
    <xf numFmtId="0" fontId="9" fillId="0" borderId="0" xfId="0" applyFont="1" applyFill="1" applyBorder="1" applyAlignment="1">
      <alignment/>
    </xf>
    <xf numFmtId="164" fontId="9" fillId="0" borderId="0" xfId="44" applyNumberFormat="1" applyFont="1" applyFill="1" applyBorder="1" applyAlignment="1">
      <alignment/>
    </xf>
    <xf numFmtId="14" fontId="9" fillId="0" borderId="0" xfId="60" applyNumberFormat="1" applyFont="1" applyFill="1" applyBorder="1">
      <alignment/>
      <protection/>
    </xf>
    <xf numFmtId="43" fontId="9" fillId="0" borderId="0" xfId="60" applyNumberFormat="1" applyFont="1" applyFill="1" applyBorder="1">
      <alignment/>
      <protection/>
    </xf>
    <xf numFmtId="38" fontId="9" fillId="0" borderId="14" xfId="44" applyNumberFormat="1" applyFont="1" applyFill="1" applyBorder="1" applyAlignment="1">
      <alignment/>
    </xf>
    <xf numFmtId="43" fontId="13" fillId="0" borderId="14" xfId="44" applyNumberFormat="1" applyFont="1" applyFill="1" applyBorder="1" applyAlignment="1">
      <alignment/>
    </xf>
    <xf numFmtId="164" fontId="12" fillId="0" borderId="15" xfId="44" applyNumberFormat="1" applyFont="1" applyFill="1" applyBorder="1" applyAlignment="1">
      <alignment/>
    </xf>
    <xf numFmtId="43" fontId="9" fillId="0" borderId="0" xfId="44" applyFont="1" applyFill="1" applyBorder="1" applyAlignment="1">
      <alignment/>
    </xf>
    <xf numFmtId="43" fontId="9" fillId="0" borderId="0" xfId="44" applyFont="1" applyFill="1" applyBorder="1" applyAlignment="1">
      <alignment/>
    </xf>
    <xf numFmtId="43" fontId="11" fillId="0" borderId="0" xfId="44" applyFont="1" applyFill="1" applyBorder="1" applyAlignment="1">
      <alignment wrapText="1"/>
    </xf>
    <xf numFmtId="43" fontId="9" fillId="0" borderId="0" xfId="60" applyNumberFormat="1" applyFont="1" applyFill="1" applyBorder="1" applyAlignment="1">
      <alignment horizontal="left"/>
      <protection/>
    </xf>
    <xf numFmtId="38" fontId="9" fillId="0" borderId="0" xfId="44" applyNumberFormat="1" applyFont="1" applyFill="1" applyBorder="1" applyAlignment="1">
      <alignment/>
    </xf>
    <xf numFmtId="43" fontId="12" fillId="0" borderId="0" xfId="60" applyNumberFormat="1" applyFont="1" applyFill="1" applyBorder="1">
      <alignment/>
      <protection/>
    </xf>
    <xf numFmtId="38" fontId="12" fillId="0" borderId="14" xfId="44" applyNumberFormat="1" applyFont="1" applyFill="1" applyBorder="1" applyAlignment="1">
      <alignment/>
    </xf>
    <xf numFmtId="38" fontId="12" fillId="0" borderId="15" xfId="44" applyNumberFormat="1" applyFont="1" applyFill="1" applyBorder="1" applyAlignment="1">
      <alignment/>
    </xf>
    <xf numFmtId="43" fontId="12" fillId="0" borderId="14" xfId="44" applyFont="1" applyFill="1" applyBorder="1" applyAlignment="1">
      <alignment/>
    </xf>
    <xf numFmtId="164" fontId="9" fillId="0" borderId="0" xfId="60" applyNumberFormat="1" applyFont="1" applyFill="1" applyBorder="1">
      <alignment/>
      <protection/>
    </xf>
    <xf numFmtId="43" fontId="12" fillId="0" borderId="0" xfId="44" applyFont="1" applyFill="1" applyBorder="1" applyAlignment="1">
      <alignment/>
    </xf>
    <xf numFmtId="0" fontId="11" fillId="0" borderId="0" xfId="0" applyFont="1" applyFill="1" applyAlignment="1">
      <alignment/>
    </xf>
    <xf numFmtId="166" fontId="9" fillId="0" borderId="0" xfId="0" applyNumberFormat="1" applyFont="1" applyFill="1" applyBorder="1" applyAlignment="1">
      <alignment horizontal="right"/>
    </xf>
    <xf numFmtId="0" fontId="9" fillId="0" borderId="0" xfId="0" applyFont="1" applyFill="1" applyAlignment="1">
      <alignment/>
    </xf>
    <xf numFmtId="164" fontId="12" fillId="0" borderId="14" xfId="44" applyNumberFormat="1" applyFont="1" applyFill="1" applyBorder="1" applyAlignment="1">
      <alignment/>
    </xf>
    <xf numFmtId="5" fontId="9" fillId="0" borderId="0" xfId="60" applyNumberFormat="1" applyFont="1" applyFill="1" applyBorder="1">
      <alignment/>
      <protection/>
    </xf>
    <xf numFmtId="43" fontId="11" fillId="0" borderId="0" xfId="60" applyNumberFormat="1" applyFont="1" applyFill="1" applyBorder="1">
      <alignment/>
      <protection/>
    </xf>
    <xf numFmtId="43" fontId="11" fillId="0" borderId="0" xfId="44" applyFont="1" applyFill="1" applyBorder="1" applyAlignment="1">
      <alignment/>
    </xf>
    <xf numFmtId="43" fontId="9" fillId="0" borderId="0" xfId="60" applyNumberFormat="1" applyFont="1" applyFill="1" applyBorder="1" applyAlignment="1">
      <alignment horizontal="left" wrapText="1"/>
      <protection/>
    </xf>
    <xf numFmtId="6" fontId="12" fillId="0" borderId="15" xfId="44" applyNumberFormat="1" applyFont="1" applyFill="1" applyBorder="1" applyAlignment="1">
      <alignment/>
    </xf>
    <xf numFmtId="43" fontId="13" fillId="0" borderId="15" xfId="44" applyNumberFormat="1" applyFont="1" applyFill="1" applyBorder="1" applyAlignment="1">
      <alignment/>
    </xf>
    <xf numFmtId="6" fontId="9" fillId="0" borderId="0" xfId="60" applyNumberFormat="1" applyFont="1" applyFill="1" applyBorder="1">
      <alignment/>
      <protection/>
    </xf>
    <xf numFmtId="0" fontId="15" fillId="0" borderId="0" xfId="60" applyFont="1" applyFill="1" applyBorder="1">
      <alignment/>
      <protection/>
    </xf>
    <xf numFmtId="43" fontId="15" fillId="0" borderId="0" xfId="44" applyFont="1" applyFill="1" applyBorder="1" applyAlignment="1">
      <alignment/>
    </xf>
    <xf numFmtId="43" fontId="15" fillId="0" borderId="0" xfId="44" applyFont="1" applyFill="1" applyBorder="1" applyAlignment="1">
      <alignment horizontal="right"/>
    </xf>
    <xf numFmtId="43" fontId="5" fillId="0" borderId="0" xfId="60" applyNumberFormat="1" applyFont="1" applyFill="1" applyBorder="1" applyAlignment="1">
      <alignment horizontal="center"/>
      <protection/>
    </xf>
    <xf numFmtId="0" fontId="5" fillId="0" borderId="0" xfId="60" applyFont="1" applyFill="1" applyBorder="1" applyAlignment="1">
      <alignment horizontal="center"/>
      <protection/>
    </xf>
    <xf numFmtId="43" fontId="5" fillId="0" borderId="0" xfId="44" applyFont="1" applyFill="1" applyBorder="1" applyAlignment="1">
      <alignment horizontal="center"/>
    </xf>
    <xf numFmtId="43" fontId="22" fillId="0" borderId="0" xfId="44" applyFont="1" applyBorder="1" applyAlignment="1">
      <alignment horizontal="center"/>
    </xf>
    <xf numFmtId="43" fontId="22" fillId="0" borderId="0" xfId="44" applyFont="1" applyFill="1" applyBorder="1" applyAlignment="1">
      <alignment horizontal="center"/>
    </xf>
    <xf numFmtId="164" fontId="9" fillId="0" borderId="0" xfId="44" applyNumberFormat="1" applyFont="1" applyBorder="1" applyAlignment="1">
      <alignment horizontal="right"/>
    </xf>
    <xf numFmtId="164" fontId="12" fillId="0" borderId="0" xfId="44" applyNumberFormat="1" applyFont="1" applyFill="1" applyBorder="1" applyAlignment="1">
      <alignment/>
    </xf>
    <xf numFmtId="0" fontId="9" fillId="0" borderId="0" xfId="0" applyFont="1" applyFill="1" applyAlignment="1">
      <alignment horizontal="right"/>
    </xf>
    <xf numFmtId="164" fontId="9" fillId="0" borderId="14" xfId="44" applyNumberFormat="1" applyFont="1" applyFill="1" applyBorder="1" applyAlignment="1">
      <alignment/>
    </xf>
    <xf numFmtId="43" fontId="24" fillId="0" borderId="0" xfId="44" applyFont="1" applyBorder="1" applyAlignment="1">
      <alignment/>
    </xf>
    <xf numFmtId="0" fontId="24" fillId="0" borderId="0" xfId="60" applyFont="1" applyBorder="1">
      <alignment/>
      <protection/>
    </xf>
    <xf numFmtId="43" fontId="21" fillId="0" borderId="0" xfId="44" applyFont="1" applyBorder="1" applyAlignment="1">
      <alignment/>
    </xf>
    <xf numFmtId="0" fontId="21" fillId="0" borderId="0" xfId="60" applyFont="1" applyBorder="1">
      <alignment/>
      <protection/>
    </xf>
    <xf numFmtId="43" fontId="5" fillId="0" borderId="21" xfId="60" applyNumberFormat="1" applyFont="1" applyBorder="1" applyAlignment="1">
      <alignment horizontal="centerContinuous"/>
      <protection/>
    </xf>
    <xf numFmtId="43" fontId="9" fillId="0" borderId="0" xfId="44" applyNumberFormat="1" applyFont="1" applyBorder="1" applyAlignment="1">
      <alignment horizontal="centerContinuous"/>
    </xf>
    <xf numFmtId="43" fontId="9" fillId="0" borderId="17" xfId="44" applyNumberFormat="1" applyFont="1" applyBorder="1" applyAlignment="1">
      <alignment horizontal="centerContinuous"/>
    </xf>
    <xf numFmtId="43" fontId="9" fillId="0" borderId="21" xfId="60" applyNumberFormat="1" applyFont="1" applyBorder="1" applyAlignment="1" quotePrefix="1">
      <alignment wrapText="1"/>
      <protection/>
    </xf>
    <xf numFmtId="43" fontId="9" fillId="0" borderId="21" xfId="60" applyNumberFormat="1" applyFont="1" applyBorder="1" applyAlignment="1">
      <alignment horizontal="center" wrapText="1"/>
      <protection/>
    </xf>
    <xf numFmtId="43" fontId="12" fillId="33" borderId="23" xfId="44" applyNumberFormat="1" applyFont="1" applyFill="1" applyBorder="1" applyAlignment="1" quotePrefix="1">
      <alignment horizontal="centerContinuous"/>
    </xf>
    <xf numFmtId="14" fontId="12" fillId="33" borderId="24" xfId="44" applyNumberFormat="1" applyFont="1" applyFill="1" applyBorder="1" applyAlignment="1" quotePrefix="1">
      <alignment horizontal="centerContinuous" wrapText="1"/>
    </xf>
    <xf numFmtId="43" fontId="9" fillId="33" borderId="16" xfId="44" applyNumberFormat="1" applyFont="1" applyFill="1" applyBorder="1" applyAlignment="1">
      <alignment horizontal="centerContinuous"/>
    </xf>
    <xf numFmtId="43" fontId="12" fillId="33" borderId="25" xfId="44" applyNumberFormat="1" applyFont="1" applyFill="1" applyBorder="1" applyAlignment="1">
      <alignment horizontal="centerContinuous"/>
    </xf>
    <xf numFmtId="43" fontId="12" fillId="33" borderId="13" xfId="44" applyNumberFormat="1" applyFont="1" applyFill="1" applyBorder="1" applyAlignment="1">
      <alignment horizontal="centerContinuous"/>
    </xf>
    <xf numFmtId="43" fontId="12" fillId="33" borderId="18" xfId="44" applyNumberFormat="1" applyFont="1" applyFill="1" applyBorder="1" applyAlignment="1">
      <alignment horizontal="centerContinuous"/>
    </xf>
    <xf numFmtId="43" fontId="9" fillId="0" borderId="23" xfId="60" applyNumberFormat="1" applyFont="1" applyBorder="1" applyAlignment="1">
      <alignment horizontal="center" wrapText="1"/>
      <protection/>
    </xf>
    <xf numFmtId="43" fontId="12" fillId="0" borderId="23" xfId="44" applyNumberFormat="1" applyFont="1" applyBorder="1" applyAlignment="1">
      <alignment horizontal="centerContinuous"/>
    </xf>
    <xf numFmtId="43" fontId="12" fillId="0" borderId="24" xfId="44" applyNumberFormat="1" applyFont="1" applyBorder="1" applyAlignment="1">
      <alignment horizontal="centerContinuous"/>
    </xf>
    <xf numFmtId="43" fontId="9" fillId="0" borderId="17" xfId="44" applyFont="1" applyFill="1" applyBorder="1" applyAlignment="1">
      <alignment horizontal="right"/>
    </xf>
    <xf numFmtId="43" fontId="12" fillId="0" borderId="21" xfId="60" applyNumberFormat="1" applyFont="1" applyBorder="1" applyAlignment="1">
      <alignment horizontal="center" wrapText="1"/>
      <protection/>
    </xf>
    <xf numFmtId="43" fontId="9" fillId="0" borderId="21" xfId="44" applyFont="1" applyBorder="1" applyAlignment="1">
      <alignment horizontal="right"/>
    </xf>
    <xf numFmtId="43" fontId="9" fillId="0" borderId="21" xfId="60" applyNumberFormat="1" applyFont="1" applyBorder="1" applyAlignment="1">
      <alignment horizontal="left" wrapText="1"/>
      <protection/>
    </xf>
    <xf numFmtId="164" fontId="9" fillId="0" borderId="21" xfId="44" applyNumberFormat="1" applyFont="1" applyBorder="1" applyAlignment="1">
      <alignment horizontal="right"/>
    </xf>
    <xf numFmtId="43" fontId="9" fillId="0" borderId="0" xfId="44" applyFont="1" applyBorder="1" applyAlignment="1">
      <alignment horizontal="right"/>
    </xf>
    <xf numFmtId="164" fontId="9" fillId="0" borderId="25" xfId="44" applyNumberFormat="1" applyFont="1" applyBorder="1" applyAlignment="1">
      <alignment horizontal="right"/>
    </xf>
    <xf numFmtId="164" fontId="9" fillId="0" borderId="13" xfId="44" applyNumberFormat="1" applyFont="1" applyBorder="1" applyAlignment="1">
      <alignment horizontal="right"/>
    </xf>
    <xf numFmtId="5" fontId="12" fillId="0" borderId="18" xfId="44" applyNumberFormat="1" applyFont="1" applyFill="1" applyBorder="1" applyAlignment="1">
      <alignment horizontal="right"/>
    </xf>
    <xf numFmtId="43" fontId="25" fillId="0" borderId="21" xfId="44" applyFont="1" applyBorder="1" applyAlignment="1">
      <alignment horizontal="right"/>
    </xf>
    <xf numFmtId="38" fontId="9" fillId="0" borderId="13" xfId="44" applyNumberFormat="1" applyFont="1" applyBorder="1" applyAlignment="1">
      <alignment horizontal="right"/>
    </xf>
    <xf numFmtId="164" fontId="9" fillId="0" borderId="17" xfId="44" applyNumberFormat="1" applyFont="1" applyFill="1" applyBorder="1" applyAlignment="1">
      <alignment horizontal="right"/>
    </xf>
    <xf numFmtId="43" fontId="12" fillId="0" borderId="0" xfId="44" applyFont="1" applyBorder="1" applyAlignment="1">
      <alignment horizontal="right"/>
    </xf>
    <xf numFmtId="164" fontId="9" fillId="0" borderId="18" xfId="44" applyNumberFormat="1" applyFont="1" applyFill="1" applyBorder="1" applyAlignment="1">
      <alignment horizontal="right"/>
    </xf>
    <xf numFmtId="6" fontId="12" fillId="0" borderId="17" xfId="44" applyNumberFormat="1" applyFont="1" applyFill="1" applyBorder="1" applyAlignment="1">
      <alignment horizontal="right"/>
    </xf>
    <xf numFmtId="43" fontId="12" fillId="0" borderId="0" xfId="44" applyFont="1" applyBorder="1" applyAlignment="1">
      <alignment/>
    </xf>
    <xf numFmtId="37" fontId="9" fillId="0" borderId="0" xfId="60" applyNumberFormat="1" applyFont="1" applyBorder="1">
      <alignment/>
      <protection/>
    </xf>
    <xf numFmtId="6" fontId="12" fillId="0" borderId="18" xfId="44" applyNumberFormat="1" applyFont="1" applyFill="1" applyBorder="1" applyAlignment="1">
      <alignment horizontal="right"/>
    </xf>
    <xf numFmtId="6" fontId="9" fillId="0" borderId="0" xfId="60" applyNumberFormat="1" applyFont="1" applyBorder="1">
      <alignment/>
      <protection/>
    </xf>
    <xf numFmtId="38" fontId="9" fillId="0" borderId="18" xfId="44" applyNumberFormat="1" applyFont="1" applyFill="1" applyBorder="1" applyAlignment="1">
      <alignment horizontal="right"/>
    </xf>
    <xf numFmtId="43" fontId="9" fillId="0" borderId="21" xfId="0" applyNumberFormat="1" applyFont="1" applyBorder="1" applyAlignment="1">
      <alignment horizontal="left" wrapText="1"/>
    </xf>
    <xf numFmtId="43" fontId="12" fillId="0" borderId="25" xfId="60" applyNumberFormat="1" applyFont="1" applyBorder="1" applyAlignment="1">
      <alignment horizontal="center" wrapText="1"/>
      <protection/>
    </xf>
    <xf numFmtId="43" fontId="9" fillId="0" borderId="25" xfId="44" applyFont="1" applyBorder="1" applyAlignment="1">
      <alignment horizontal="right"/>
    </xf>
    <xf numFmtId="43" fontId="9" fillId="0" borderId="13" xfId="44" applyFont="1" applyBorder="1" applyAlignment="1">
      <alignment horizontal="right"/>
    </xf>
    <xf numFmtId="43" fontId="9" fillId="0" borderId="0" xfId="60" applyNumberFormat="1" applyFont="1" applyBorder="1">
      <alignment/>
      <protection/>
    </xf>
    <xf numFmtId="0" fontId="9" fillId="0" borderId="0" xfId="60" applyFont="1" applyBorder="1" applyAlignment="1">
      <alignment horizontal="left" wrapText="1"/>
      <protection/>
    </xf>
    <xf numFmtId="43" fontId="9" fillId="0" borderId="0" xfId="44" applyNumberFormat="1" applyFont="1" applyBorder="1" applyAlignment="1">
      <alignment horizontal="right"/>
    </xf>
    <xf numFmtId="6" fontId="9" fillId="0" borderId="0" xfId="44" applyNumberFormat="1" applyFont="1" applyBorder="1" applyAlignment="1">
      <alignment horizontal="right"/>
    </xf>
    <xf numFmtId="43" fontId="9" fillId="0" borderId="0" xfId="44" applyNumberFormat="1" applyFont="1" applyBorder="1" applyAlignment="1">
      <alignment horizontal="left"/>
    </xf>
    <xf numFmtId="43" fontId="12" fillId="0" borderId="0" xfId="44" applyNumberFormat="1" applyFont="1" applyBorder="1" applyAlignment="1">
      <alignment horizontal="right"/>
    </xf>
    <xf numFmtId="43" fontId="9" fillId="0" borderId="0" xfId="44" applyNumberFormat="1" applyFont="1" applyBorder="1" applyAlignment="1">
      <alignment/>
    </xf>
    <xf numFmtId="0" fontId="9" fillId="0" borderId="0" xfId="60" applyFont="1" applyBorder="1" applyAlignment="1">
      <alignment wrapText="1"/>
      <protection/>
    </xf>
    <xf numFmtId="0" fontId="15" fillId="0" borderId="0" xfId="60" applyFont="1" applyBorder="1" applyAlignment="1">
      <alignment wrapText="1"/>
      <protection/>
    </xf>
    <xf numFmtId="43" fontId="15" fillId="0" borderId="0" xfId="44" applyNumberFormat="1" applyFont="1" applyBorder="1" applyAlignment="1">
      <alignment/>
    </xf>
    <xf numFmtId="43" fontId="15" fillId="0" borderId="0" xfId="44" applyFont="1" applyBorder="1" applyAlignment="1">
      <alignment/>
    </xf>
    <xf numFmtId="7" fontId="19" fillId="0" borderId="0" xfId="60" applyNumberFormat="1" applyFont="1" applyFill="1" applyAlignment="1">
      <alignment horizontal="centerContinuous"/>
      <protection/>
    </xf>
    <xf numFmtId="7" fontId="19" fillId="0" borderId="0" xfId="44" applyNumberFormat="1" applyFont="1" applyFill="1" applyAlignment="1">
      <alignment horizontal="centerContinuous"/>
    </xf>
    <xf numFmtId="7" fontId="26" fillId="0" borderId="0" xfId="44" applyNumberFormat="1" applyFont="1" applyAlignment="1">
      <alignment horizontal="centerContinuous"/>
    </xf>
    <xf numFmtId="0" fontId="26" fillId="0" borderId="0" xfId="60" applyFont="1">
      <alignment/>
      <protection/>
    </xf>
    <xf numFmtId="7" fontId="5" fillId="0" borderId="0" xfId="60" applyNumberFormat="1" applyFont="1" applyFill="1" applyAlignment="1">
      <alignment horizontal="centerContinuous"/>
      <protection/>
    </xf>
    <xf numFmtId="7" fontId="15" fillId="0" borderId="0" xfId="44" applyNumberFormat="1" applyFont="1" applyAlignment="1">
      <alignment horizontal="centerContinuous"/>
    </xf>
    <xf numFmtId="7" fontId="9" fillId="0" borderId="0" xfId="44" applyNumberFormat="1" applyFont="1" applyAlignment="1">
      <alignment horizontal="centerContinuous"/>
    </xf>
    <xf numFmtId="0" fontId="27" fillId="0" borderId="0" xfId="60" applyFont="1">
      <alignment/>
      <protection/>
    </xf>
    <xf numFmtId="7" fontId="6" fillId="0" borderId="0" xfId="60" applyNumberFormat="1" applyFont="1" applyFill="1" applyAlignment="1">
      <alignment horizontal="centerContinuous"/>
      <protection/>
    </xf>
    <xf numFmtId="7" fontId="6" fillId="0" borderId="0" xfId="44" applyNumberFormat="1" applyFont="1" applyFill="1" applyAlignment="1">
      <alignment horizontal="centerContinuous"/>
    </xf>
    <xf numFmtId="7" fontId="21" fillId="0" borderId="0" xfId="44" applyNumberFormat="1" applyFont="1" applyAlignment="1">
      <alignment horizontal="centerContinuous"/>
    </xf>
    <xf numFmtId="0" fontId="21" fillId="0" borderId="0" xfId="60" applyFont="1">
      <alignment/>
      <protection/>
    </xf>
    <xf numFmtId="7" fontId="21" fillId="0" borderId="0" xfId="60" applyNumberFormat="1" applyFont="1" applyFill="1" applyAlignment="1">
      <alignment horizontal="centerContinuous"/>
      <protection/>
    </xf>
    <xf numFmtId="7" fontId="21" fillId="0" borderId="0" xfId="44" applyNumberFormat="1" applyFont="1" applyFill="1" applyAlignment="1">
      <alignment horizontal="centerContinuous"/>
    </xf>
    <xf numFmtId="43" fontId="10" fillId="33" borderId="0" xfId="44" applyFont="1" applyFill="1" applyAlignment="1">
      <alignment horizontal="centerContinuous" wrapText="1"/>
    </xf>
    <xf numFmtId="7" fontId="10" fillId="33" borderId="0" xfId="44" applyNumberFormat="1" applyFont="1" applyFill="1" applyAlignment="1">
      <alignment horizontal="center" wrapText="1"/>
    </xf>
    <xf numFmtId="7" fontId="12" fillId="0" borderId="0" xfId="60" applyNumberFormat="1" applyFont="1" applyFill="1" applyAlignment="1">
      <alignment horizontal="left" wrapText="1"/>
      <protection/>
    </xf>
    <xf numFmtId="0" fontId="12" fillId="0" borderId="0" xfId="60" applyFont="1" applyAlignment="1">
      <alignment horizontal="left" wrapText="1"/>
      <protection/>
    </xf>
    <xf numFmtId="7" fontId="12" fillId="0" borderId="0" xfId="60" applyNumberFormat="1" applyFont="1" applyFill="1" applyAlignment="1">
      <alignment horizontal="center" wrapText="1"/>
      <protection/>
    </xf>
    <xf numFmtId="7" fontId="9" fillId="0" borderId="0" xfId="44" applyNumberFormat="1" applyFont="1" applyFill="1" applyAlignment="1">
      <alignment/>
    </xf>
    <xf numFmtId="7" fontId="9" fillId="0" borderId="0" xfId="60" applyNumberFormat="1" applyFont="1" applyFill="1">
      <alignment/>
      <protection/>
    </xf>
    <xf numFmtId="38" fontId="9" fillId="0" borderId="0" xfId="44" applyNumberFormat="1" applyFont="1" applyFill="1" applyAlignment="1">
      <alignment horizontal="right"/>
    </xf>
    <xf numFmtId="164" fontId="9" fillId="0" borderId="0" xfId="44" applyNumberFormat="1" applyFont="1" applyFill="1" applyBorder="1" applyAlignment="1">
      <alignment horizontal="right"/>
    </xf>
    <xf numFmtId="164" fontId="28" fillId="0" borderId="0" xfId="44" applyNumberFormat="1" applyFont="1" applyFill="1" applyBorder="1" applyAlignment="1">
      <alignment horizontal="right"/>
    </xf>
    <xf numFmtId="7" fontId="12" fillId="0" borderId="0" xfId="60" applyNumberFormat="1" applyFont="1" applyFill="1" applyAlignment="1">
      <alignment horizontal="center"/>
      <protection/>
    </xf>
    <xf numFmtId="164" fontId="9" fillId="0" borderId="14" xfId="44" applyNumberFormat="1" applyFont="1" applyFill="1" applyBorder="1" applyAlignment="1">
      <alignment horizontal="right"/>
    </xf>
    <xf numFmtId="38" fontId="9" fillId="0" borderId="14" xfId="44" applyNumberFormat="1" applyFont="1" applyFill="1" applyBorder="1" applyAlignment="1">
      <alignment horizontal="right"/>
    </xf>
    <xf numFmtId="43" fontId="12" fillId="0" borderId="14" xfId="44" applyNumberFormat="1" applyFont="1" applyBorder="1" applyAlignment="1">
      <alignment horizontal="right"/>
    </xf>
    <xf numFmtId="164" fontId="12" fillId="0" borderId="15" xfId="44" applyNumberFormat="1" applyFont="1" applyBorder="1" applyAlignment="1">
      <alignment horizontal="right"/>
    </xf>
    <xf numFmtId="43" fontId="12" fillId="0" borderId="0" xfId="44" applyNumberFormat="1" applyFont="1" applyFill="1" applyAlignment="1">
      <alignment horizontal="right"/>
    </xf>
    <xf numFmtId="43" fontId="9" fillId="0" borderId="0" xfId="44" applyFont="1" applyAlignment="1">
      <alignment/>
    </xf>
    <xf numFmtId="43" fontId="9" fillId="0" borderId="0" xfId="44" applyFont="1" applyFill="1" applyAlignment="1">
      <alignment horizontal="right"/>
    </xf>
    <xf numFmtId="43" fontId="29" fillId="0" borderId="0" xfId="44" applyNumberFormat="1" applyFont="1" applyFill="1" applyAlignment="1">
      <alignment horizontal="right"/>
    </xf>
    <xf numFmtId="164" fontId="9" fillId="0" borderId="0" xfId="44" applyNumberFormat="1" applyFont="1" applyFill="1" applyAlignment="1">
      <alignment horizontal="right"/>
    </xf>
    <xf numFmtId="7" fontId="30" fillId="0" borderId="0" xfId="60" applyNumberFormat="1" applyFont="1" applyFill="1">
      <alignment/>
      <protection/>
    </xf>
    <xf numFmtId="38" fontId="30" fillId="0" borderId="0" xfId="60" applyNumberFormat="1" applyFont="1">
      <alignment/>
      <protection/>
    </xf>
    <xf numFmtId="7" fontId="9" fillId="0" borderId="0" xfId="60" applyNumberFormat="1" applyFont="1" applyFill="1" applyBorder="1" applyAlignment="1">
      <alignment horizontal="left"/>
      <protection/>
    </xf>
    <xf numFmtId="6" fontId="12" fillId="0" borderId="15" xfId="44" applyNumberFormat="1" applyFont="1" applyFill="1" applyBorder="1" applyAlignment="1">
      <alignment horizontal="right"/>
    </xf>
    <xf numFmtId="43" fontId="12" fillId="0" borderId="15" xfId="44" applyNumberFormat="1" applyFont="1" applyBorder="1" applyAlignment="1">
      <alignment horizontal="right"/>
    </xf>
    <xf numFmtId="43" fontId="21" fillId="0" borderId="0" xfId="44" applyFont="1" applyAlignment="1">
      <alignment/>
    </xf>
    <xf numFmtId="43" fontId="12" fillId="0" borderId="14" xfId="44" applyNumberFormat="1" applyFont="1" applyFill="1" applyBorder="1" applyAlignment="1">
      <alignment horizontal="right"/>
    </xf>
    <xf numFmtId="43" fontId="12" fillId="0" borderId="0" xfId="44" applyFont="1" applyFill="1" applyBorder="1" applyAlignment="1">
      <alignment horizontal="right"/>
    </xf>
    <xf numFmtId="38" fontId="17" fillId="0" borderId="0" xfId="60" applyNumberFormat="1" applyFont="1">
      <alignment/>
      <protection/>
    </xf>
    <xf numFmtId="0" fontId="17" fillId="0" borderId="0" xfId="61" applyFont="1">
      <alignment/>
      <protection/>
    </xf>
    <xf numFmtId="0" fontId="31" fillId="0" borderId="0" xfId="61" applyFont="1" applyAlignment="1">
      <alignment horizontal="right"/>
      <protection/>
    </xf>
    <xf numFmtId="0" fontId="17" fillId="0" borderId="0" xfId="61" applyFont="1" applyAlignment="1">
      <alignment horizontal="center"/>
      <protection/>
    </xf>
    <xf numFmtId="38" fontId="17" fillId="0" borderId="0" xfId="61" applyNumberFormat="1" applyFont="1">
      <alignment/>
      <protection/>
    </xf>
    <xf numFmtId="0" fontId="31" fillId="0" borderId="0" xfId="61" applyFont="1" applyBorder="1" applyAlignment="1">
      <alignment horizontal="right"/>
      <protection/>
    </xf>
    <xf numFmtId="0" fontId="31" fillId="0" borderId="0" xfId="61" applyFont="1" applyAlignment="1">
      <alignment horizontal="center"/>
      <protection/>
    </xf>
    <xf numFmtId="5" fontId="32" fillId="0" borderId="0" xfId="61" applyNumberFormat="1" applyFont="1" applyAlignment="1">
      <alignment horizontal="right"/>
      <protection/>
    </xf>
    <xf numFmtId="5" fontId="17" fillId="0" borderId="0" xfId="61" applyNumberFormat="1" applyFont="1" applyAlignment="1">
      <alignment horizontal="center"/>
      <protection/>
    </xf>
    <xf numFmtId="5" fontId="17" fillId="0" borderId="0" xfId="61" applyNumberFormat="1" applyFont="1" applyFill="1" applyAlignment="1">
      <alignment horizontal="center"/>
      <protection/>
    </xf>
    <xf numFmtId="0" fontId="21" fillId="0" borderId="0" xfId="61" applyFont="1">
      <alignment/>
      <protection/>
    </xf>
    <xf numFmtId="38" fontId="21" fillId="0" borderId="0" xfId="61" applyNumberFormat="1" applyFont="1">
      <alignment/>
      <protection/>
    </xf>
    <xf numFmtId="0" fontId="32" fillId="0" borderId="0" xfId="60" applyFont="1" applyAlignment="1">
      <alignment horizontal="right"/>
      <protection/>
    </xf>
    <xf numFmtId="5" fontId="17" fillId="0" borderId="0" xfId="60" applyNumberFormat="1" applyFont="1" applyBorder="1">
      <alignment/>
      <protection/>
    </xf>
    <xf numFmtId="5" fontId="17" fillId="0" borderId="0" xfId="60" applyNumberFormat="1" applyFont="1" applyBorder="1" applyAlignment="1">
      <alignment horizontal="center"/>
      <protection/>
    </xf>
    <xf numFmtId="0" fontId="17" fillId="0" borderId="0" xfId="60" applyFont="1">
      <alignment/>
      <protection/>
    </xf>
    <xf numFmtId="43" fontId="33" fillId="0" borderId="0" xfId="60" applyNumberFormat="1" applyFont="1" applyBorder="1">
      <alignment/>
      <protection/>
    </xf>
    <xf numFmtId="167" fontId="6" fillId="0" borderId="0" xfId="44" applyNumberFormat="1" applyFont="1" applyAlignment="1">
      <alignment horizontal="left"/>
    </xf>
    <xf numFmtId="167" fontId="21" fillId="0" borderId="0" xfId="44" applyNumberFormat="1" applyFont="1" applyAlignment="1">
      <alignment horizontal="centerContinuous"/>
    </xf>
    <xf numFmtId="43" fontId="21" fillId="0" borderId="0" xfId="60" applyNumberFormat="1" applyFont="1" applyBorder="1">
      <alignment/>
      <protection/>
    </xf>
    <xf numFmtId="43" fontId="6" fillId="0" borderId="0" xfId="60" applyNumberFormat="1" applyFont="1" applyBorder="1">
      <alignment/>
      <protection/>
    </xf>
    <xf numFmtId="167" fontId="12" fillId="0" borderId="0" xfId="44" applyNumberFormat="1" applyFont="1" applyFill="1" applyAlignment="1">
      <alignment horizontal="centerContinuous"/>
    </xf>
    <xf numFmtId="43" fontId="22" fillId="0" borderId="0" xfId="60" applyNumberFormat="1" applyFont="1" applyBorder="1">
      <alignment/>
      <protection/>
    </xf>
    <xf numFmtId="43" fontId="12" fillId="0" borderId="0" xfId="60" applyNumberFormat="1" applyFont="1" applyBorder="1" applyAlignment="1">
      <alignment horizontal="left"/>
      <protection/>
    </xf>
    <xf numFmtId="167" fontId="12" fillId="0" borderId="0" xfId="44" applyNumberFormat="1" applyFont="1" applyAlignment="1">
      <alignment horizontal="left"/>
    </xf>
    <xf numFmtId="167" fontId="9" fillId="0" borderId="0" xfId="44" applyNumberFormat="1" applyFont="1" applyAlignment="1">
      <alignment/>
    </xf>
    <xf numFmtId="167" fontId="9" fillId="0" borderId="0" xfId="44" applyNumberFormat="1" applyFont="1" applyFill="1" applyAlignment="1">
      <alignment/>
    </xf>
    <xf numFmtId="167" fontId="9" fillId="0" borderId="0" xfId="44" applyNumberFormat="1" applyFont="1" applyAlignment="1">
      <alignment horizontal="left"/>
    </xf>
    <xf numFmtId="164" fontId="9" fillId="0" borderId="0" xfId="44" applyNumberFormat="1" applyFont="1" applyFill="1" applyAlignment="1">
      <alignment/>
    </xf>
    <xf numFmtId="167" fontId="12" fillId="0" borderId="0" xfId="44" applyNumberFormat="1" applyFont="1" applyAlignment="1">
      <alignment horizontal="center"/>
    </xf>
    <xf numFmtId="164" fontId="12" fillId="0" borderId="15" xfId="44" applyNumberFormat="1" applyFont="1" applyBorder="1" applyAlignment="1">
      <alignment/>
    </xf>
    <xf numFmtId="43" fontId="12" fillId="0" borderId="0" xfId="44" applyNumberFormat="1" applyFont="1" applyFill="1" applyAlignment="1">
      <alignment/>
    </xf>
    <xf numFmtId="43" fontId="12" fillId="0" borderId="0" xfId="44" applyNumberFormat="1" applyFont="1" applyAlignment="1">
      <alignment/>
    </xf>
    <xf numFmtId="43" fontId="9" fillId="0" borderId="0" xfId="44" applyFont="1" applyAlignment="1">
      <alignment/>
    </xf>
    <xf numFmtId="43" fontId="12" fillId="0" borderId="0" xfId="44" applyNumberFormat="1" applyFont="1" applyBorder="1" applyAlignment="1">
      <alignment/>
    </xf>
    <xf numFmtId="43" fontId="9" fillId="0" borderId="0" xfId="44" applyFont="1" applyBorder="1" applyAlignment="1">
      <alignment/>
    </xf>
    <xf numFmtId="167" fontId="9" fillId="0" borderId="0" xfId="44" applyNumberFormat="1" applyFont="1" applyAlignment="1">
      <alignment/>
    </xf>
    <xf numFmtId="43" fontId="29" fillId="0" borderId="0" xfId="44" applyNumberFormat="1" applyFont="1" applyFill="1" applyAlignment="1">
      <alignment/>
    </xf>
    <xf numFmtId="43" fontId="30" fillId="0" borderId="0" xfId="44" applyFont="1" applyFill="1" applyAlignment="1">
      <alignment/>
    </xf>
    <xf numFmtId="43" fontId="30" fillId="0" borderId="0" xfId="60" applyNumberFormat="1" applyFont="1" applyBorder="1">
      <alignment/>
      <protection/>
    </xf>
    <xf numFmtId="38" fontId="9" fillId="0" borderId="0" xfId="44" applyNumberFormat="1" applyFont="1" applyFill="1" applyAlignment="1">
      <alignment/>
    </xf>
    <xf numFmtId="6" fontId="12" fillId="0" borderId="15" xfId="44" applyNumberFormat="1" applyFont="1" applyBorder="1" applyAlignment="1">
      <alignment/>
    </xf>
    <xf numFmtId="167" fontId="9" fillId="0" borderId="0" xfId="44" applyNumberFormat="1" applyFont="1" applyBorder="1" applyAlignment="1">
      <alignment/>
    </xf>
    <xf numFmtId="5" fontId="17" fillId="0" borderId="0" xfId="44" applyNumberFormat="1" applyFont="1" applyBorder="1" applyAlignment="1">
      <alignment/>
    </xf>
    <xf numFmtId="167" fontId="17" fillId="0" borderId="0" xfId="44" applyNumberFormat="1" applyFont="1" applyAlignment="1">
      <alignment horizontal="left"/>
    </xf>
    <xf numFmtId="167" fontId="17" fillId="0" borderId="0" xfId="44" applyNumberFormat="1" applyFont="1" applyAlignment="1">
      <alignment/>
    </xf>
    <xf numFmtId="167" fontId="17" fillId="0" borderId="0" xfId="44" applyNumberFormat="1" applyFont="1" applyBorder="1" applyAlignment="1">
      <alignment/>
    </xf>
    <xf numFmtId="43" fontId="17" fillId="0" borderId="0" xfId="60" applyNumberFormat="1" applyFont="1" applyBorder="1">
      <alignment/>
      <protection/>
    </xf>
    <xf numFmtId="167" fontId="21" fillId="0" borderId="0" xfId="44" applyNumberFormat="1" applyFont="1" applyAlignment="1">
      <alignment/>
    </xf>
    <xf numFmtId="164" fontId="9" fillId="0" borderId="0" xfId="44" applyNumberFormat="1" applyFont="1" applyAlignment="1">
      <alignment/>
    </xf>
    <xf numFmtId="164" fontId="9" fillId="0" borderId="14" xfId="44" applyNumberFormat="1" applyFont="1" applyBorder="1" applyAlignment="1">
      <alignment/>
    </xf>
    <xf numFmtId="0" fontId="19" fillId="0" borderId="0" xfId="60" applyFont="1" applyBorder="1" applyAlignment="1">
      <alignment horizontal="centerContinuous"/>
      <protection/>
    </xf>
    <xf numFmtId="43" fontId="19" fillId="0" borderId="0" xfId="44" applyFont="1" applyFill="1" applyAlignment="1">
      <alignment horizontal="centerContinuous"/>
    </xf>
    <xf numFmtId="43" fontId="19" fillId="0" borderId="0" xfId="44" applyFont="1" applyBorder="1" applyAlignment="1">
      <alignment horizontal="centerContinuous"/>
    </xf>
    <xf numFmtId="43" fontId="26" fillId="0" borderId="0" xfId="44" applyFont="1" applyBorder="1" applyAlignment="1">
      <alignment horizontal="centerContinuous"/>
    </xf>
    <xf numFmtId="43" fontId="26" fillId="0" borderId="0" xfId="44" applyFont="1" applyBorder="1" applyAlignment="1">
      <alignment/>
    </xf>
    <xf numFmtId="0" fontId="26" fillId="0" borderId="0" xfId="60" applyFont="1" applyBorder="1">
      <alignment/>
      <protection/>
    </xf>
    <xf numFmtId="43" fontId="5" fillId="0" borderId="0" xfId="44" applyFont="1" applyFill="1" applyAlignment="1">
      <alignment horizontal="centerContinuous"/>
    </xf>
    <xf numFmtId="43" fontId="9" fillId="0" borderId="0" xfId="44" applyFont="1" applyBorder="1" applyAlignment="1">
      <alignment horizontal="centerContinuous"/>
    </xf>
    <xf numFmtId="0" fontId="6" fillId="0" borderId="0" xfId="60" applyFont="1" applyBorder="1" applyAlignment="1">
      <alignment horizontal="centerContinuous"/>
      <protection/>
    </xf>
    <xf numFmtId="43" fontId="6" fillId="0" borderId="0" xfId="44" applyFont="1" applyFill="1" applyAlignment="1">
      <alignment horizontal="centerContinuous"/>
    </xf>
    <xf numFmtId="43" fontId="6" fillId="0" borderId="0" xfId="44" applyFont="1" applyBorder="1" applyAlignment="1">
      <alignment horizontal="centerContinuous"/>
    </xf>
    <xf numFmtId="43" fontId="21" fillId="0" borderId="0" xfId="44" applyFont="1" applyBorder="1" applyAlignment="1">
      <alignment horizontal="centerContinuous"/>
    </xf>
    <xf numFmtId="0" fontId="9" fillId="0" borderId="0" xfId="60" applyFont="1" applyBorder="1" applyAlignment="1">
      <alignment horizontal="centerContinuous"/>
      <protection/>
    </xf>
    <xf numFmtId="43" fontId="10" fillId="33" borderId="0" xfId="44" applyFont="1" applyFill="1" applyBorder="1" applyAlignment="1">
      <alignment horizontal="center" wrapText="1"/>
    </xf>
    <xf numFmtId="0" fontId="12" fillId="0" borderId="0" xfId="60" applyFont="1" applyBorder="1" applyAlignment="1">
      <alignment horizontal="center" wrapText="1"/>
      <protection/>
    </xf>
    <xf numFmtId="43" fontId="9" fillId="0" borderId="0" xfId="44" applyFont="1" applyFill="1" applyAlignment="1">
      <alignment/>
    </xf>
    <xf numFmtId="43" fontId="9" fillId="0" borderId="0" xfId="44" applyFont="1" applyBorder="1" applyAlignment="1">
      <alignment horizontal="left" wrapText="1"/>
    </xf>
    <xf numFmtId="0" fontId="9" fillId="0" borderId="0" xfId="60" applyFont="1" applyBorder="1" applyAlignment="1">
      <alignment horizontal="right"/>
      <protection/>
    </xf>
    <xf numFmtId="41" fontId="9" fillId="0" borderId="0" xfId="44" applyNumberFormat="1" applyFont="1" applyBorder="1" applyAlignment="1">
      <alignment horizontal="right"/>
    </xf>
    <xf numFmtId="38" fontId="9" fillId="0" borderId="0" xfId="60" applyNumberFormat="1" applyFont="1" applyBorder="1" applyAlignment="1">
      <alignment horizontal="right"/>
      <protection/>
    </xf>
    <xf numFmtId="38" fontId="12" fillId="0" borderId="0" xfId="60" applyNumberFormat="1" applyFont="1" applyBorder="1">
      <alignment/>
      <protection/>
    </xf>
    <xf numFmtId="164" fontId="12" fillId="0" borderId="14" xfId="44" applyNumberFormat="1" applyFont="1" applyBorder="1" applyAlignment="1">
      <alignment horizontal="right"/>
    </xf>
    <xf numFmtId="38" fontId="12" fillId="0" borderId="0" xfId="60" applyNumberFormat="1" applyFont="1" applyBorder="1" applyAlignment="1">
      <alignment horizontal="center" wrapText="1"/>
      <protection/>
    </xf>
    <xf numFmtId="43" fontId="29" fillId="0" borderId="0" xfId="44" applyFont="1" applyBorder="1" applyAlignment="1">
      <alignment horizontal="right"/>
    </xf>
    <xf numFmtId="43" fontId="30" fillId="0" borderId="0" xfId="44" applyFont="1" applyFill="1" applyAlignment="1">
      <alignment horizontal="right"/>
    </xf>
    <xf numFmtId="43" fontId="25" fillId="0" borderId="0" xfId="44" applyFont="1" applyBorder="1" applyAlignment="1">
      <alignment horizontal="right"/>
    </xf>
    <xf numFmtId="38" fontId="30" fillId="0" borderId="0" xfId="60" applyNumberFormat="1" applyFont="1" applyBorder="1">
      <alignment/>
      <protection/>
    </xf>
    <xf numFmtId="43" fontId="30" fillId="0" borderId="0" xfId="44" applyFont="1" applyBorder="1" applyAlignment="1">
      <alignment horizontal="right"/>
    </xf>
    <xf numFmtId="38" fontId="30" fillId="0" borderId="0" xfId="60" applyNumberFormat="1" applyFont="1" applyBorder="1" applyAlignment="1">
      <alignment horizontal="right"/>
      <protection/>
    </xf>
    <xf numFmtId="43" fontId="34" fillId="0" borderId="0" xfId="59" applyNumberFormat="1" applyFont="1">
      <alignment/>
      <protection/>
    </xf>
    <xf numFmtId="164" fontId="9" fillId="0" borderId="14" xfId="44" applyNumberFormat="1" applyFont="1" applyBorder="1" applyAlignment="1">
      <alignment horizontal="right"/>
    </xf>
    <xf numFmtId="7" fontId="3" fillId="0" borderId="0" xfId="60" applyNumberFormat="1" applyFont="1" applyFill="1" applyBorder="1" applyAlignment="1">
      <alignment horizontal="center"/>
      <protection/>
    </xf>
    <xf numFmtId="7" fontId="5" fillId="0" borderId="0" xfId="60" applyNumberFormat="1" applyFont="1" applyFill="1" applyBorder="1" applyAlignment="1">
      <alignment horizontal="center"/>
      <protection/>
    </xf>
    <xf numFmtId="7" fontId="6" fillId="0" borderId="0" xfId="60" applyNumberFormat="1" applyFont="1" applyFill="1" applyBorder="1" applyAlignment="1">
      <alignment horizontal="center"/>
      <protection/>
    </xf>
    <xf numFmtId="7" fontId="6" fillId="0" borderId="0" xfId="60" applyNumberFormat="1" applyFont="1" applyFill="1" applyBorder="1" applyAlignment="1" quotePrefix="1">
      <alignment horizontal="center"/>
      <protection/>
    </xf>
    <xf numFmtId="7" fontId="6" fillId="0" borderId="0" xfId="60" applyNumberFormat="1" applyFont="1" applyBorder="1" applyAlignment="1">
      <alignment horizontal="center"/>
      <protection/>
    </xf>
    <xf numFmtId="7" fontId="6" fillId="0" borderId="0" xfId="60" applyNumberFormat="1" applyFont="1" applyBorder="1" applyAlignment="1" quotePrefix="1">
      <alignment horizontal="center"/>
      <protection/>
    </xf>
    <xf numFmtId="43" fontId="19" fillId="0" borderId="0" xfId="60" applyNumberFormat="1" applyFont="1" applyFill="1" applyBorder="1" applyAlignment="1">
      <alignment horizontal="center"/>
      <protection/>
    </xf>
    <xf numFmtId="43" fontId="5" fillId="0" borderId="0" xfId="60" applyNumberFormat="1" applyFont="1" applyFill="1" applyAlignment="1">
      <alignment horizontal="center"/>
      <protection/>
    </xf>
    <xf numFmtId="43" fontId="6" fillId="0" borderId="0" xfId="60" applyNumberFormat="1" applyFont="1" applyFill="1" applyBorder="1" applyAlignment="1">
      <alignment horizontal="center"/>
      <protection/>
    </xf>
    <xf numFmtId="43" fontId="3" fillId="0" borderId="23" xfId="60" applyNumberFormat="1" applyFont="1" applyBorder="1" applyAlignment="1">
      <alignment horizontal="center"/>
      <protection/>
    </xf>
    <xf numFmtId="43" fontId="3" fillId="0" borderId="24" xfId="60" applyNumberFormat="1" applyFont="1" applyBorder="1" applyAlignment="1">
      <alignment horizontal="center"/>
      <protection/>
    </xf>
    <xf numFmtId="43" fontId="3" fillId="0" borderId="16" xfId="60" applyNumberFormat="1" applyFont="1" applyBorder="1" applyAlignment="1">
      <alignment horizontal="center"/>
      <protection/>
    </xf>
    <xf numFmtId="43" fontId="5" fillId="0" borderId="21" xfId="60" applyNumberFormat="1" applyFont="1" applyFill="1" applyBorder="1" applyAlignment="1">
      <alignment horizontal="center"/>
      <protection/>
    </xf>
    <xf numFmtId="43" fontId="5" fillId="0" borderId="0" xfId="60" applyNumberFormat="1" applyFont="1" applyFill="1" applyBorder="1" applyAlignment="1">
      <alignment horizontal="center"/>
      <protection/>
    </xf>
    <xf numFmtId="43" fontId="5" fillId="0" borderId="17" xfId="60" applyNumberFormat="1" applyFont="1" applyFill="1" applyBorder="1" applyAlignment="1">
      <alignment horizontal="center"/>
      <protection/>
    </xf>
    <xf numFmtId="43" fontId="6" fillId="0" borderId="21" xfId="60" applyNumberFormat="1" applyFont="1" applyBorder="1" applyAlignment="1">
      <alignment horizontal="center"/>
      <protection/>
    </xf>
    <xf numFmtId="43" fontId="6" fillId="0" borderId="0" xfId="60" applyNumberFormat="1" applyFont="1" applyBorder="1" applyAlignment="1">
      <alignment horizontal="center"/>
      <protection/>
    </xf>
    <xf numFmtId="43" fontId="6" fillId="0" borderId="17" xfId="60" applyNumberFormat="1" applyFont="1" applyBorder="1" applyAlignment="1">
      <alignment horizontal="center"/>
      <protection/>
    </xf>
    <xf numFmtId="0" fontId="17" fillId="0" borderId="0" xfId="60" applyNumberFormat="1" applyFont="1" applyAlignment="1">
      <alignment horizontal="left" vertical="center" wrapText="1"/>
      <protection/>
    </xf>
    <xf numFmtId="0" fontId="17" fillId="0" borderId="0" xfId="60" applyNumberFormat="1" applyFont="1" applyAlignment="1">
      <alignment horizontal="center" vertical="center" wrapText="1"/>
      <protection/>
    </xf>
    <xf numFmtId="0" fontId="17" fillId="0" borderId="0" xfId="60" applyFont="1" applyAlignment="1">
      <alignment horizontal="left" vertical="center" wrapText="1"/>
      <protection/>
    </xf>
    <xf numFmtId="0" fontId="31" fillId="0" borderId="0" xfId="61" applyFont="1" applyAlignment="1">
      <alignment horizontal="center" vertical="center" wrapText="1"/>
      <protection/>
    </xf>
    <xf numFmtId="167" fontId="19" fillId="0" borderId="0" xfId="44" applyNumberFormat="1" applyFont="1" applyAlignment="1">
      <alignment horizontal="center"/>
    </xf>
    <xf numFmtId="167" fontId="6" fillId="0" borderId="0" xfId="44" applyNumberFormat="1" applyFont="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3 2" xfId="59"/>
    <cellStyle name="Normal 9" xfId="60"/>
    <cellStyle name="Normal 9 2"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Q15%20Financial%20Resul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 - Rounded"/>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IS Flux Analysis - 3"/>
      <sheetName val="Claims Incurred"/>
      <sheetName val="Underwriting Expenses - 1"/>
      <sheetName val="Underwriting Expenses - 2"/>
      <sheetName val="Underwriting Expenses - 3"/>
      <sheetName val="Business Results - 1"/>
      <sheetName val="Business Results - 2"/>
      <sheetName val="Business Results - 3"/>
    </sheetNames>
    <sheetDataSet>
      <sheetData sheetId="0">
        <row r="23">
          <cell r="J23">
            <v>11568359</v>
          </cell>
        </row>
        <row r="28">
          <cell r="J28">
            <v>1124290</v>
          </cell>
        </row>
        <row r="32">
          <cell r="J32">
            <v>1012067</v>
          </cell>
        </row>
        <row r="36">
          <cell r="J36">
            <v>26130</v>
          </cell>
        </row>
        <row r="47">
          <cell r="J47">
            <v>153372</v>
          </cell>
        </row>
        <row r="55">
          <cell r="J55">
            <v>58573</v>
          </cell>
        </row>
        <row r="67">
          <cell r="I67">
            <v>-3785796</v>
          </cell>
        </row>
        <row r="68">
          <cell r="I68">
            <v>-1385137</v>
          </cell>
        </row>
        <row r="69">
          <cell r="I69">
            <v>-13681</v>
          </cell>
        </row>
        <row r="120">
          <cell r="J120">
            <v>-37509</v>
          </cell>
        </row>
        <row r="128">
          <cell r="J128">
            <v>-9891</v>
          </cell>
        </row>
        <row r="137">
          <cell r="J137">
            <v>-224460</v>
          </cell>
        </row>
        <row r="165">
          <cell r="J165">
            <v>-242221</v>
          </cell>
        </row>
        <row r="168">
          <cell r="J168">
            <v>-3408857</v>
          </cell>
        </row>
        <row r="171">
          <cell r="J171">
            <v>-1673606</v>
          </cell>
        </row>
        <row r="174">
          <cell r="J174">
            <v>-287105</v>
          </cell>
        </row>
        <row r="179">
          <cell r="J179">
            <v>-91381</v>
          </cell>
        </row>
        <row r="192">
          <cell r="H192">
            <v>30031</v>
          </cell>
        </row>
        <row r="196">
          <cell r="H196">
            <v>97039</v>
          </cell>
        </row>
        <row r="204">
          <cell r="I204">
            <v>-2717611</v>
          </cell>
        </row>
        <row r="209">
          <cell r="I209">
            <v>2700</v>
          </cell>
        </row>
        <row r="210">
          <cell r="I210">
            <v>681</v>
          </cell>
        </row>
        <row r="212">
          <cell r="G212">
            <v>7164</v>
          </cell>
          <cell r="I212">
            <v>87643</v>
          </cell>
        </row>
        <row r="213">
          <cell r="G213">
            <v>2815</v>
          </cell>
          <cell r="I213">
            <v>34443</v>
          </cell>
        </row>
        <row r="214">
          <cell r="G214">
            <v>0</v>
          </cell>
          <cell r="I214">
            <v>668</v>
          </cell>
        </row>
        <row r="216">
          <cell r="G216">
            <v>-1811054</v>
          </cell>
          <cell r="I216">
            <v>-7619179</v>
          </cell>
        </row>
        <row r="217">
          <cell r="G217">
            <v>-649674</v>
          </cell>
          <cell r="I217">
            <v>-2742900</v>
          </cell>
        </row>
        <row r="218">
          <cell r="G218">
            <v>-7921</v>
          </cell>
          <cell r="I218">
            <v>-24692</v>
          </cell>
        </row>
        <row r="261">
          <cell r="H261">
            <v>-47511</v>
          </cell>
          <cell r="J261">
            <v>-103767</v>
          </cell>
        </row>
        <row r="268">
          <cell r="H268">
            <v>-4725</v>
          </cell>
          <cell r="J268">
            <v>-4255</v>
          </cell>
        </row>
        <row r="270">
          <cell r="G270">
            <v>0</v>
          </cell>
          <cell r="I270">
            <v>-29</v>
          </cell>
        </row>
        <row r="271">
          <cell r="G271">
            <v>-4848</v>
          </cell>
          <cell r="I271">
            <v>-19403</v>
          </cell>
        </row>
        <row r="272">
          <cell r="H272">
            <v>-4848</v>
          </cell>
          <cell r="J272">
            <v>-19432</v>
          </cell>
        </row>
        <row r="286">
          <cell r="G286">
            <v>-171</v>
          </cell>
          <cell r="I286">
            <v>-1447</v>
          </cell>
        </row>
        <row r="287">
          <cell r="G287">
            <v>-609</v>
          </cell>
          <cell r="I287">
            <v>-3576</v>
          </cell>
        </row>
        <row r="289">
          <cell r="I289">
            <v>-2874</v>
          </cell>
        </row>
        <row r="291">
          <cell r="H291">
            <v>-780</v>
          </cell>
          <cell r="J291">
            <v>-7897</v>
          </cell>
        </row>
        <row r="374">
          <cell r="J374">
            <v>-338</v>
          </cell>
        </row>
        <row r="378">
          <cell r="H378">
            <v>-946</v>
          </cell>
          <cell r="J378">
            <v>-10989</v>
          </cell>
        </row>
        <row r="382">
          <cell r="H382">
            <v>208642</v>
          </cell>
          <cell r="J382">
            <v>878345</v>
          </cell>
        </row>
        <row r="384">
          <cell r="H384">
            <v>207696</v>
          </cell>
          <cell r="J384">
            <v>867018</v>
          </cell>
        </row>
        <row r="387">
          <cell r="H387">
            <v>0</v>
          </cell>
          <cell r="J387">
            <v>37783</v>
          </cell>
        </row>
        <row r="389">
          <cell r="H389">
            <v>4500</v>
          </cell>
          <cell r="J389">
            <v>17250</v>
          </cell>
        </row>
        <row r="391">
          <cell r="H391">
            <v>0</v>
          </cell>
          <cell r="J391">
            <v>104</v>
          </cell>
        </row>
        <row r="395">
          <cell r="H395">
            <v>15900</v>
          </cell>
          <cell r="J395">
            <v>66535</v>
          </cell>
        </row>
        <row r="399">
          <cell r="H399">
            <v>20400</v>
          </cell>
          <cell r="J399">
            <v>121672</v>
          </cell>
        </row>
        <row r="625">
          <cell r="H625">
            <v>725468</v>
          </cell>
          <cell r="J625">
            <v>3646054</v>
          </cell>
        </row>
      </sheetData>
      <sheetData sheetId="13">
        <row r="9">
          <cell r="B9">
            <v>994064</v>
          </cell>
          <cell r="C9">
            <v>148170</v>
          </cell>
          <cell r="D9">
            <v>51262</v>
          </cell>
        </row>
        <row r="10">
          <cell r="B10">
            <v>73000</v>
          </cell>
          <cell r="C10">
            <v>12500</v>
          </cell>
          <cell r="D10">
            <v>0</v>
          </cell>
        </row>
        <row r="11">
          <cell r="B11">
            <v>0</v>
          </cell>
          <cell r="C11">
            <v>0</v>
          </cell>
          <cell r="D11">
            <v>0</v>
          </cell>
        </row>
        <row r="16">
          <cell r="B16">
            <v>420316</v>
          </cell>
          <cell r="C16">
            <v>78606</v>
          </cell>
          <cell r="D16">
            <v>0</v>
          </cell>
        </row>
        <row r="17">
          <cell r="B17">
            <v>30866</v>
          </cell>
          <cell r="C17">
            <v>6631</v>
          </cell>
          <cell r="D17">
            <v>0</v>
          </cell>
        </row>
        <row r="18">
          <cell r="B18">
            <v>0</v>
          </cell>
          <cell r="C18">
            <v>0</v>
          </cell>
          <cell r="D18">
            <v>0</v>
          </cell>
        </row>
      </sheetData>
      <sheetData sheetId="14">
        <row r="12">
          <cell r="E12">
            <v>249486</v>
          </cell>
        </row>
        <row r="19">
          <cell r="E19">
            <v>156795</v>
          </cell>
        </row>
        <row r="22">
          <cell r="B22">
            <v>279475</v>
          </cell>
          <cell r="C22">
            <v>71458</v>
          </cell>
          <cell r="D22">
            <v>28796</v>
          </cell>
        </row>
        <row r="23">
          <cell r="B23">
            <v>20524</v>
          </cell>
          <cell r="C23">
            <v>6028</v>
          </cell>
          <cell r="D23">
            <v>0</v>
          </cell>
        </row>
        <row r="24">
          <cell r="B24">
            <v>0</v>
          </cell>
          <cell r="C24">
            <v>0</v>
          </cell>
          <cell r="D24">
            <v>0</v>
          </cell>
        </row>
      </sheetData>
      <sheetData sheetId="15">
        <row r="9">
          <cell r="E9">
            <v>178290</v>
          </cell>
          <cell r="K9">
            <v>44657</v>
          </cell>
        </row>
        <row r="10">
          <cell r="E10">
            <v>15000</v>
          </cell>
          <cell r="K10">
            <v>17139</v>
          </cell>
        </row>
        <row r="11">
          <cell r="E11">
            <v>0</v>
          </cell>
          <cell r="K11">
            <v>0</v>
          </cell>
        </row>
        <row r="12">
          <cell r="C12">
            <v>47049</v>
          </cell>
          <cell r="I12">
            <v>14747</v>
          </cell>
        </row>
        <row r="15">
          <cell r="E15">
            <v>364824</v>
          </cell>
          <cell r="K15">
            <v>45042</v>
          </cell>
        </row>
        <row r="16">
          <cell r="E16">
            <v>94860</v>
          </cell>
          <cell r="K16">
            <v>28894</v>
          </cell>
        </row>
        <row r="17">
          <cell r="E17">
            <v>0</v>
          </cell>
          <cell r="K17">
            <v>0</v>
          </cell>
        </row>
        <row r="18">
          <cell r="C18">
            <v>38862</v>
          </cell>
          <cell r="I18">
            <v>35074</v>
          </cell>
        </row>
        <row r="21">
          <cell r="E21">
            <v>508852</v>
          </cell>
          <cell r="K21">
            <v>71700</v>
          </cell>
        </row>
        <row r="22">
          <cell r="E22">
            <v>43375</v>
          </cell>
          <cell r="K22">
            <v>27628</v>
          </cell>
        </row>
        <row r="23">
          <cell r="E23">
            <v>0</v>
          </cell>
          <cell r="K23">
            <v>0</v>
          </cell>
        </row>
        <row r="24">
          <cell r="C24">
            <v>57193</v>
          </cell>
          <cell r="I24">
            <v>42135</v>
          </cell>
        </row>
        <row r="30">
          <cell r="C30">
            <v>143104</v>
          </cell>
          <cell r="E30">
            <v>1205201</v>
          </cell>
          <cell r="I30">
            <v>91956</v>
          </cell>
        </row>
      </sheetData>
      <sheetData sheetId="16">
        <row r="9">
          <cell r="E9">
            <v>263674</v>
          </cell>
          <cell r="K9">
            <v>159394</v>
          </cell>
        </row>
        <row r="10">
          <cell r="E10">
            <v>100546</v>
          </cell>
          <cell r="K10">
            <v>93731</v>
          </cell>
        </row>
        <row r="11">
          <cell r="E11">
            <v>0</v>
          </cell>
          <cell r="K11">
            <v>0</v>
          </cell>
        </row>
        <row r="12">
          <cell r="C12">
            <v>211032</v>
          </cell>
          <cell r="I12">
            <v>42093</v>
          </cell>
        </row>
        <row r="15">
          <cell r="E15">
            <v>2124791</v>
          </cell>
          <cell r="K15">
            <v>482684</v>
          </cell>
        </row>
        <row r="16">
          <cell r="E16">
            <v>553905</v>
          </cell>
          <cell r="K16">
            <v>131291</v>
          </cell>
        </row>
        <row r="17">
          <cell r="E17">
            <v>1930</v>
          </cell>
          <cell r="K17">
            <v>1078</v>
          </cell>
        </row>
        <row r="18">
          <cell r="C18">
            <v>223778</v>
          </cell>
          <cell r="I18">
            <v>391275</v>
          </cell>
        </row>
        <row r="21">
          <cell r="E21">
            <v>830219</v>
          </cell>
          <cell r="K21">
            <v>152142</v>
          </cell>
        </row>
        <row r="22">
          <cell r="E22">
            <v>104416</v>
          </cell>
          <cell r="K22">
            <v>69186</v>
          </cell>
        </row>
        <row r="23">
          <cell r="E23">
            <v>0</v>
          </cell>
          <cell r="K23">
            <v>0</v>
          </cell>
        </row>
        <row r="24">
          <cell r="C24">
            <v>103801</v>
          </cell>
          <cell r="I24">
            <v>117527</v>
          </cell>
        </row>
        <row r="30">
          <cell r="C30">
            <v>538611</v>
          </cell>
          <cell r="E30">
            <v>3979481</v>
          </cell>
          <cell r="I30">
            <v>550895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8"/>
  <sheetViews>
    <sheetView tabSelected="1" zoomScalePageLayoutView="0" workbookViewId="0" topLeftCell="A1">
      <selection activeCell="A22" sqref="A22"/>
    </sheetView>
  </sheetViews>
  <sheetFormatPr defaultColWidth="15.7109375" defaultRowHeight="15" customHeight="1"/>
  <cols>
    <col min="1" max="1" width="52.57421875" style="7" customWidth="1"/>
    <col min="2" max="3" width="15.7109375" style="40" customWidth="1"/>
    <col min="4" max="4" width="17.28125" style="40" customWidth="1"/>
    <col min="5" max="5" width="20.57421875" style="40" bestFit="1" customWidth="1"/>
    <col min="6" max="6" width="16.8515625" style="7" bestFit="1" customWidth="1"/>
    <col min="7" max="16384" width="15.7109375" style="7" customWidth="1"/>
  </cols>
  <sheetData>
    <row r="1" spans="1:5" s="1" customFormat="1" ht="30" customHeight="1">
      <c r="A1" s="325" t="s">
        <v>0</v>
      </c>
      <c r="B1" s="325"/>
      <c r="C1" s="325"/>
      <c r="D1" s="325"/>
      <c r="E1" s="325"/>
    </row>
    <row r="2" spans="1:5" s="1" customFormat="1" ht="15" customHeight="1">
      <c r="A2" s="326"/>
      <c r="B2" s="326"/>
      <c r="C2" s="326"/>
      <c r="D2" s="326"/>
      <c r="E2" s="326"/>
    </row>
    <row r="3" spans="1:5" s="2" customFormat="1" ht="15" customHeight="1">
      <c r="A3" s="327" t="s">
        <v>1</v>
      </c>
      <c r="B3" s="327"/>
      <c r="C3" s="327"/>
      <c r="D3" s="327"/>
      <c r="E3" s="327"/>
    </row>
    <row r="4" spans="1:5" s="2" customFormat="1" ht="15" customHeight="1">
      <c r="A4" s="328" t="s">
        <v>2</v>
      </c>
      <c r="B4" s="328"/>
      <c r="C4" s="328"/>
      <c r="D4" s="328"/>
      <c r="E4" s="328"/>
    </row>
    <row r="5" spans="1:5" s="2" customFormat="1" ht="15" customHeight="1">
      <c r="A5" s="3"/>
      <c r="B5" s="4"/>
      <c r="C5" s="4"/>
      <c r="D5" s="4"/>
      <c r="E5" s="4"/>
    </row>
    <row r="6" spans="1:5" ht="45" customHeight="1">
      <c r="A6" s="5"/>
      <c r="B6" s="6" t="s">
        <v>3</v>
      </c>
      <c r="C6" s="6" t="s">
        <v>4</v>
      </c>
      <c r="D6" s="6" t="s">
        <v>5</v>
      </c>
      <c r="E6" s="7"/>
    </row>
    <row r="7" spans="1:5" ht="15" customHeight="1">
      <c r="A7" s="8" t="s">
        <v>6</v>
      </c>
      <c r="B7" s="9"/>
      <c r="C7" s="9"/>
      <c r="D7" s="9"/>
      <c r="E7" s="7"/>
    </row>
    <row r="8" spans="1:5" ht="15" customHeight="1">
      <c r="A8" s="10" t="s">
        <v>7</v>
      </c>
      <c r="B8" s="11">
        <f>'[1]TB - Rounded'!$J$28</f>
        <v>1124290</v>
      </c>
      <c r="C8" s="12">
        <v>0</v>
      </c>
      <c r="D8" s="11">
        <f>SUM(B8:C8)</f>
        <v>1124290</v>
      </c>
      <c r="E8" s="7"/>
    </row>
    <row r="9" spans="1:5" ht="15" customHeight="1">
      <c r="A9" s="10" t="s">
        <v>8</v>
      </c>
      <c r="B9" s="13">
        <f>'[1]TB - Rounded'!$J$32</f>
        <v>1012067</v>
      </c>
      <c r="C9" s="12">
        <v>0</v>
      </c>
      <c r="D9" s="13">
        <f>SUM(B9:C9)</f>
        <v>1012067</v>
      </c>
      <c r="E9" s="7"/>
    </row>
    <row r="10" spans="1:5" ht="15" customHeight="1">
      <c r="A10" s="10" t="s">
        <v>9</v>
      </c>
      <c r="B10" s="13">
        <f>'[1]TB - Rounded'!$J$23</f>
        <v>11568359</v>
      </c>
      <c r="C10" s="12">
        <v>0</v>
      </c>
      <c r="D10" s="13">
        <f>SUM(B10:C10)</f>
        <v>11568359</v>
      </c>
      <c r="E10" s="7"/>
    </row>
    <row r="11" spans="1:5" ht="15" customHeight="1">
      <c r="A11" s="10" t="s">
        <v>10</v>
      </c>
      <c r="B11" s="13">
        <f>181430</f>
        <v>181430</v>
      </c>
      <c r="C11" s="13">
        <f>B11</f>
        <v>181430</v>
      </c>
      <c r="D11" s="14">
        <v>0</v>
      </c>
      <c r="E11" s="7"/>
    </row>
    <row r="12" spans="1:5" ht="15" customHeight="1">
      <c r="A12" s="10" t="s">
        <v>11</v>
      </c>
      <c r="B12" s="15">
        <f>'[1]TB - Rounded'!$J$36</f>
        <v>26130</v>
      </c>
      <c r="C12" s="12">
        <v>0</v>
      </c>
      <c r="D12" s="13">
        <f>SUM(B12:C12)</f>
        <v>26130</v>
      </c>
      <c r="E12" s="7"/>
    </row>
    <row r="13" spans="1:5" ht="15" customHeight="1">
      <c r="A13" s="10" t="s">
        <v>12</v>
      </c>
      <c r="B13" s="13">
        <f>18328-5546</f>
        <v>12782</v>
      </c>
      <c r="C13" s="13">
        <f>B13</f>
        <v>12782</v>
      </c>
      <c r="D13" s="14">
        <f>+B13-C13</f>
        <v>0</v>
      </c>
      <c r="E13" s="7"/>
    </row>
    <row r="14" spans="1:5" ht="15" customHeight="1">
      <c r="A14" s="10" t="s">
        <v>13</v>
      </c>
      <c r="B14" s="15">
        <f>451958-429800+'[1]TB - Rounded'!$J$55</f>
        <v>80731</v>
      </c>
      <c r="C14" s="15">
        <f>451958-429800</f>
        <v>22158</v>
      </c>
      <c r="D14" s="13">
        <f>B14-C14</f>
        <v>58573</v>
      </c>
      <c r="E14" s="16"/>
    </row>
    <row r="15" spans="1:5" ht="15" customHeight="1">
      <c r="A15" s="10" t="s">
        <v>14</v>
      </c>
      <c r="B15" s="15">
        <f>'[1]TB - Rounded'!$J$47+5</f>
        <v>153377</v>
      </c>
      <c r="C15" s="15">
        <v>5</v>
      </c>
      <c r="D15" s="13">
        <f>+B15-C15</f>
        <v>153372</v>
      </c>
      <c r="E15" s="7"/>
    </row>
    <row r="16" spans="1:6" ht="15" customHeight="1">
      <c r="A16" s="17" t="s">
        <v>15</v>
      </c>
      <c r="B16" s="18">
        <f>SUM(B8:B15)</f>
        <v>14159166</v>
      </c>
      <c r="C16" s="18">
        <f>SUM(C8:C15)</f>
        <v>216375</v>
      </c>
      <c r="D16" s="18">
        <f>SUM(D8:D15)</f>
        <v>13942791</v>
      </c>
      <c r="E16" s="19"/>
      <c r="F16" s="20"/>
    </row>
    <row r="17" spans="1:5" ht="15" customHeight="1">
      <c r="A17" s="17"/>
      <c r="B17" s="21"/>
      <c r="C17" s="21"/>
      <c r="D17" s="19"/>
      <c r="E17" s="7"/>
    </row>
    <row r="18" spans="1:5" ht="15" customHeight="1">
      <c r="A18" s="22" t="s">
        <v>16</v>
      </c>
      <c r="B18" s="23"/>
      <c r="C18" s="23"/>
      <c r="D18" s="23"/>
      <c r="E18" s="7"/>
    </row>
    <row r="19" spans="1:5" ht="15" customHeight="1">
      <c r="A19" s="10" t="s">
        <v>17</v>
      </c>
      <c r="B19" s="23"/>
      <c r="C19" s="24">
        <f>-'[1]TB - Rounded'!$J$168</f>
        <v>3408857</v>
      </c>
      <c r="D19" s="23"/>
      <c r="E19" s="7"/>
    </row>
    <row r="20" spans="1:5" ht="15" customHeight="1">
      <c r="A20" s="10" t="s">
        <v>18</v>
      </c>
      <c r="B20" s="23"/>
      <c r="C20" s="24">
        <f>-'[1]TB - Rounded'!$J$171</f>
        <v>1673606</v>
      </c>
      <c r="D20" s="23"/>
      <c r="E20" s="7"/>
    </row>
    <row r="21" spans="1:5" ht="15" customHeight="1">
      <c r="A21" s="10" t="s">
        <v>19</v>
      </c>
      <c r="B21" s="23"/>
      <c r="C21" s="24">
        <f>-'[1]TB - Rounded'!$J$165</f>
        <v>242221</v>
      </c>
      <c r="D21" s="23"/>
      <c r="E21" s="7"/>
    </row>
    <row r="22" spans="1:5" ht="15" customHeight="1">
      <c r="A22" s="10" t="s">
        <v>20</v>
      </c>
      <c r="B22" s="23"/>
      <c r="C22" s="24">
        <f>-'[1]TB - Rounded'!$J$174</f>
        <v>287105</v>
      </c>
      <c r="D22" s="23"/>
      <c r="E22" s="7"/>
    </row>
    <row r="23" spans="1:5" ht="15" customHeight="1">
      <c r="A23" s="10" t="s">
        <v>21</v>
      </c>
      <c r="B23" s="23"/>
      <c r="C23" s="24">
        <f>-'[1]TB - Rounded'!$J$179-4</f>
        <v>91377</v>
      </c>
      <c r="D23" s="25"/>
      <c r="E23" s="7"/>
    </row>
    <row r="24" spans="1:5" ht="15" customHeight="1">
      <c r="A24" s="10" t="s">
        <v>22</v>
      </c>
      <c r="B24" s="23"/>
      <c r="C24" s="26">
        <f>-'[1]TB - Rounded'!$J$128</f>
        <v>9891</v>
      </c>
      <c r="D24" s="25"/>
      <c r="E24" s="7"/>
    </row>
    <row r="25" spans="1:5" ht="15" customHeight="1">
      <c r="A25" s="10"/>
      <c r="B25" s="27"/>
      <c r="C25" s="23"/>
      <c r="D25" s="25"/>
      <c r="E25" s="7"/>
    </row>
    <row r="26" spans="1:5" ht="15" customHeight="1">
      <c r="A26" s="17" t="s">
        <v>23</v>
      </c>
      <c r="B26" s="23"/>
      <c r="C26" s="23"/>
      <c r="D26" s="28">
        <f>SUM(C19:C25)</f>
        <v>5713057</v>
      </c>
      <c r="E26" s="7"/>
    </row>
    <row r="27" spans="1:5" ht="15" customHeight="1">
      <c r="A27" s="29"/>
      <c r="B27" s="23"/>
      <c r="C27" s="23"/>
      <c r="D27" s="23"/>
      <c r="E27" s="7"/>
    </row>
    <row r="28" spans="1:5" ht="15" customHeight="1">
      <c r="A28" s="22" t="s">
        <v>24</v>
      </c>
      <c r="B28" s="23"/>
      <c r="C28" s="23"/>
      <c r="D28" s="23"/>
      <c r="E28" s="7"/>
    </row>
    <row r="29" spans="1:5" ht="15" customHeight="1">
      <c r="A29" s="10" t="s">
        <v>25</v>
      </c>
      <c r="B29" s="23"/>
      <c r="C29" s="24">
        <f>'Equity YTD-4'!F46</f>
        <v>5184614</v>
      </c>
      <c r="D29" s="23"/>
      <c r="E29" s="7"/>
    </row>
    <row r="30" spans="1:6" ht="15" customHeight="1">
      <c r="A30" s="10" t="s">
        <v>26</v>
      </c>
      <c r="B30" s="23"/>
      <c r="C30" s="24">
        <f>'Losses Incurred YTD-10'!F18</f>
        <v>1278996</v>
      </c>
      <c r="D30" s="25"/>
      <c r="E30" s="30"/>
      <c r="F30" s="31"/>
    </row>
    <row r="31" spans="1:6" ht="15" customHeight="1">
      <c r="A31" s="10" t="s">
        <v>27</v>
      </c>
      <c r="B31" s="23"/>
      <c r="C31" s="24">
        <f>'Losses Incurred YTD-10'!F24</f>
        <v>536419</v>
      </c>
      <c r="D31" s="25"/>
      <c r="E31" s="30"/>
      <c r="F31" s="31"/>
    </row>
    <row r="32" spans="1:6" ht="15" customHeight="1">
      <c r="A32" s="10" t="s">
        <v>28</v>
      </c>
      <c r="B32" s="23"/>
      <c r="C32" s="24">
        <f>'[1]Unpaid Loss Expense Reserves-14'!E12</f>
        <v>249486</v>
      </c>
      <c r="D32" s="25"/>
      <c r="E32" s="30"/>
      <c r="F32" s="31"/>
    </row>
    <row r="33" spans="1:7" ht="15" customHeight="1">
      <c r="A33" s="10" t="s">
        <v>29</v>
      </c>
      <c r="B33" s="21"/>
      <c r="C33" s="24">
        <f>'[1]Unpaid Loss Expense Reserves-14'!E19</f>
        <v>156795</v>
      </c>
      <c r="D33" s="25"/>
      <c r="E33" s="30"/>
      <c r="F33" s="30"/>
      <c r="G33" s="30"/>
    </row>
    <row r="34" spans="1:5" ht="15" customHeight="1">
      <c r="A34" s="10" t="s">
        <v>30</v>
      </c>
      <c r="B34" s="23"/>
      <c r="C34" s="24">
        <f>'Equity YTD-4'!F49</f>
        <v>224460</v>
      </c>
      <c r="D34" s="23"/>
      <c r="E34" s="7"/>
    </row>
    <row r="35" spans="1:5" ht="15" customHeight="1">
      <c r="A35" s="10" t="s">
        <v>31</v>
      </c>
      <c r="B35" s="23"/>
      <c r="C35" s="26">
        <f>'Equity YTD-4'!F50</f>
        <v>37509</v>
      </c>
      <c r="D35" s="23"/>
      <c r="E35" s="7"/>
    </row>
    <row r="36" spans="1:5" ht="15" customHeight="1">
      <c r="A36" s="10"/>
      <c r="B36" s="19"/>
      <c r="C36" s="23"/>
      <c r="D36" s="23"/>
      <c r="E36" s="7"/>
    </row>
    <row r="37" spans="1:5" ht="15" customHeight="1">
      <c r="A37" s="32" t="s">
        <v>32</v>
      </c>
      <c r="B37" s="23"/>
      <c r="C37" s="21"/>
      <c r="D37" s="28">
        <f>SUM(C29:C35)</f>
        <v>7668279</v>
      </c>
      <c r="E37" s="7"/>
    </row>
    <row r="38" spans="1:5" ht="15" customHeight="1">
      <c r="A38" s="32"/>
      <c r="B38" s="23"/>
      <c r="C38" s="21"/>
      <c r="D38" s="33"/>
      <c r="E38" s="7"/>
    </row>
    <row r="39" spans="1:5" ht="15" customHeight="1">
      <c r="A39" s="17" t="s">
        <v>33</v>
      </c>
      <c r="B39" s="23"/>
      <c r="C39" s="21"/>
      <c r="D39" s="34">
        <f>D26+D37</f>
        <v>13381336</v>
      </c>
      <c r="E39" s="7"/>
    </row>
    <row r="40" spans="1:5" ht="15" customHeight="1">
      <c r="A40" s="29"/>
      <c r="B40" s="23"/>
      <c r="C40" s="21"/>
      <c r="D40" s="23"/>
      <c r="E40" s="7"/>
    </row>
    <row r="41" spans="1:5" ht="15" customHeight="1">
      <c r="A41" s="22" t="s">
        <v>34</v>
      </c>
      <c r="B41" s="23"/>
      <c r="C41" s="21"/>
      <c r="D41" s="23"/>
      <c r="E41" s="7"/>
    </row>
    <row r="42" spans="1:7" ht="15" customHeight="1">
      <c r="A42" s="10" t="s">
        <v>35</v>
      </c>
      <c r="B42" s="23"/>
      <c r="C42" s="21"/>
      <c r="D42" s="35">
        <f>D16-D39</f>
        <v>561455</v>
      </c>
      <c r="E42" s="36"/>
      <c r="F42" s="20"/>
      <c r="G42" s="16"/>
    </row>
    <row r="43" spans="1:5" ht="15" customHeight="1">
      <c r="A43" s="29"/>
      <c r="B43" s="21"/>
      <c r="C43" s="21"/>
      <c r="D43" s="23"/>
      <c r="E43" s="7"/>
    </row>
    <row r="44" spans="1:6" ht="15" customHeight="1" thickBot="1">
      <c r="A44" s="32" t="s">
        <v>36</v>
      </c>
      <c r="B44" s="23"/>
      <c r="C44" s="23"/>
      <c r="D44" s="37">
        <f>D39+D42</f>
        <v>13942791</v>
      </c>
      <c r="E44" s="16"/>
      <c r="F44" s="20"/>
    </row>
    <row r="45" spans="1:5" ht="15" customHeight="1" thickTop="1">
      <c r="A45" s="38"/>
      <c r="B45" s="39"/>
      <c r="C45" s="39"/>
      <c r="D45" s="39"/>
      <c r="E45" s="20"/>
    </row>
    <row r="46" ht="15" customHeight="1">
      <c r="E46" s="7"/>
    </row>
    <row r="47" ht="15" customHeight="1">
      <c r="E47" s="7"/>
    </row>
    <row r="48" ht="15" customHeight="1">
      <c r="E48" s="7"/>
    </row>
    <row r="49" ht="15" customHeight="1">
      <c r="E49" s="7"/>
    </row>
    <row r="50" ht="15" customHeight="1">
      <c r="E50" s="7"/>
    </row>
    <row r="51" ht="15" customHeight="1">
      <c r="E51" s="7"/>
    </row>
    <row r="52" ht="15" customHeight="1">
      <c r="E52" s="7"/>
    </row>
    <row r="54" spans="1:5" ht="15" customHeight="1">
      <c r="A54" s="41"/>
      <c r="E54" s="42"/>
    </row>
    <row r="57" spans="2:5" s="41" customFormat="1" ht="15" customHeight="1">
      <c r="B57" s="43"/>
      <c r="C57" s="43"/>
      <c r="E57" s="42"/>
    </row>
    <row r="58" spans="2:5" s="44" customFormat="1" ht="15" customHeight="1">
      <c r="B58" s="45"/>
      <c r="C58" s="45"/>
      <c r="D58" s="45"/>
      <c r="E58" s="46"/>
    </row>
  </sheetData>
  <sheetProtection/>
  <mergeCells count="4">
    <mergeCell ref="A1:E1"/>
    <mergeCell ref="A2:E2"/>
    <mergeCell ref="A3:E3"/>
    <mergeCell ref="A4:E4"/>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3">
      <selection activeCell="D59" sqref="D59"/>
    </sheetView>
  </sheetViews>
  <sheetFormatPr defaultColWidth="15.7109375" defaultRowHeight="15" customHeight="1"/>
  <cols>
    <col min="1" max="1" width="59.00390625" style="266" customWidth="1"/>
    <col min="2" max="4" width="16.7109375" style="291" customWidth="1"/>
    <col min="5" max="6" width="16.7109375" style="285" customWidth="1"/>
    <col min="7" max="16384" width="15.7109375" style="190" customWidth="1"/>
  </cols>
  <sheetData>
    <row r="1" spans="1:6" s="259" customFormat="1" ht="24.75" customHeight="1">
      <c r="A1" s="347" t="s">
        <v>0</v>
      </c>
      <c r="B1" s="347"/>
      <c r="C1" s="347"/>
      <c r="D1" s="347"/>
      <c r="E1" s="347"/>
      <c r="F1" s="347"/>
    </row>
    <row r="2" spans="1:6" s="262" customFormat="1" ht="15" customHeight="1">
      <c r="A2" s="260"/>
      <c r="B2" s="261"/>
      <c r="C2" s="261"/>
      <c r="D2" s="261"/>
      <c r="E2" s="261"/>
      <c r="F2" s="261"/>
    </row>
    <row r="3" spans="1:6" s="263" customFormat="1" ht="15" customHeight="1">
      <c r="A3" s="348" t="s">
        <v>184</v>
      </c>
      <c r="B3" s="348"/>
      <c r="C3" s="348"/>
      <c r="D3" s="348"/>
      <c r="E3" s="348"/>
      <c r="F3" s="348"/>
    </row>
    <row r="4" spans="1:6" s="263" customFormat="1" ht="15" customHeight="1">
      <c r="A4" s="348" t="s">
        <v>106</v>
      </c>
      <c r="B4" s="348"/>
      <c r="C4" s="348"/>
      <c r="D4" s="348"/>
      <c r="E4" s="348"/>
      <c r="F4" s="348"/>
    </row>
    <row r="5" spans="1:6" s="265" customFormat="1" ht="15" customHeight="1">
      <c r="A5" s="260"/>
      <c r="B5" s="264"/>
      <c r="C5" s="264"/>
      <c r="D5" s="264"/>
      <c r="E5" s="261"/>
      <c r="F5" s="261"/>
    </row>
    <row r="6" spans="2:6" ht="30" customHeight="1">
      <c r="B6" s="215" t="s">
        <v>69</v>
      </c>
      <c r="C6" s="215" t="s">
        <v>70</v>
      </c>
      <c r="D6" s="215" t="s">
        <v>71</v>
      </c>
      <c r="E6" s="215" t="s">
        <v>72</v>
      </c>
      <c r="F6" s="215" t="s">
        <v>73</v>
      </c>
    </row>
    <row r="7" spans="1:6" ht="15" customHeight="1">
      <c r="A7" s="267" t="s">
        <v>185</v>
      </c>
      <c r="B7" s="268"/>
      <c r="C7" s="268"/>
      <c r="D7" s="268"/>
      <c r="E7" s="268"/>
      <c r="F7" s="268"/>
    </row>
    <row r="8" spans="1:6" ht="15" customHeight="1">
      <c r="A8" s="267" t="s">
        <v>186</v>
      </c>
      <c r="B8" s="269"/>
      <c r="C8" s="269"/>
      <c r="D8" s="269"/>
      <c r="E8" s="269"/>
      <c r="F8" s="269"/>
    </row>
    <row r="9" spans="1:6" ht="15" customHeight="1">
      <c r="A9" s="270" t="s">
        <v>187</v>
      </c>
      <c r="B9" s="193">
        <f>'[1]Loss Expenses Paid YTD-16'!E21</f>
        <v>830219</v>
      </c>
      <c r="C9" s="193">
        <f>'[1]Loss Expenses Paid YTD-16'!E15</f>
        <v>2124791</v>
      </c>
      <c r="D9" s="193">
        <f>'[1]Loss Expenses Paid YTD-16'!E9+'[1]TB - Rounded'!$I$286</f>
        <v>262227</v>
      </c>
      <c r="E9" s="195">
        <v>0</v>
      </c>
      <c r="F9" s="193">
        <f>SUM(B9:E9)</f>
        <v>3217237</v>
      </c>
    </row>
    <row r="10" spans="1:6" ht="15" customHeight="1">
      <c r="A10" s="270" t="s">
        <v>161</v>
      </c>
      <c r="B10" s="271">
        <f>'[1]Loss Expenses Paid YTD-16'!E22</f>
        <v>104416</v>
      </c>
      <c r="C10" s="271">
        <f>'[1]Loss Expenses Paid YTD-16'!E16+'[1]TB - Rounded'!$I$289</f>
        <v>551031</v>
      </c>
      <c r="D10" s="271">
        <f>'[1]Loss Expenses Paid YTD-16'!E10+'[1]TB - Rounded'!$I$287</f>
        <v>96970</v>
      </c>
      <c r="E10" s="195">
        <v>0</v>
      </c>
      <c r="F10" s="271">
        <f>SUM(B10:E10)</f>
        <v>752417</v>
      </c>
    </row>
    <row r="11" spans="1:6" ht="15" customHeight="1">
      <c r="A11" s="270" t="s">
        <v>162</v>
      </c>
      <c r="B11" s="195">
        <f>'[1]Loss Expenses Paid YTD-16'!E23</f>
        <v>0</v>
      </c>
      <c r="C11" s="271">
        <f>'[1]Loss Expenses Paid YTD-16'!E17</f>
        <v>1930</v>
      </c>
      <c r="D11" s="195">
        <f>'[1]Loss Expenses Paid YTD-16'!E11</f>
        <v>0</v>
      </c>
      <c r="E11" s="195">
        <v>0</v>
      </c>
      <c r="F11" s="271">
        <f>SUM(B11:E11)</f>
        <v>1930</v>
      </c>
    </row>
    <row r="12" spans="1:6" ht="15" customHeight="1" thickBot="1">
      <c r="A12" s="272" t="s">
        <v>163</v>
      </c>
      <c r="B12" s="147">
        <f>SUM(B9:B11)</f>
        <v>934635</v>
      </c>
      <c r="C12" s="147">
        <f>SUM(C9:C11)</f>
        <v>2677752</v>
      </c>
      <c r="D12" s="147">
        <f>SUM(D9:D11)</f>
        <v>359197</v>
      </c>
      <c r="E12" s="228">
        <f>SUM(E9:E11)</f>
        <v>0</v>
      </c>
      <c r="F12" s="273">
        <f>SUM(F9:F11)</f>
        <v>3971584</v>
      </c>
    </row>
    <row r="13" spans="1:6" ht="15" customHeight="1" thickTop="1">
      <c r="A13" s="267"/>
      <c r="B13" s="274"/>
      <c r="C13" s="274"/>
      <c r="D13" s="274"/>
      <c r="E13" s="275"/>
      <c r="F13" s="276"/>
    </row>
    <row r="14" spans="1:6" ht="15" customHeight="1">
      <c r="A14" s="267" t="s">
        <v>188</v>
      </c>
      <c r="B14" s="274"/>
      <c r="C14" s="274"/>
      <c r="D14" s="274"/>
      <c r="E14" s="275"/>
      <c r="F14" s="276"/>
    </row>
    <row r="15" spans="1:6" ht="15" customHeight="1">
      <c r="A15" s="270" t="s">
        <v>189</v>
      </c>
      <c r="B15" s="271">
        <f>'[1]Unpaid Loss Reserves-13'!B9</f>
        <v>994064</v>
      </c>
      <c r="C15" s="271">
        <f>'[1]Unpaid Loss Reserves-13'!C9</f>
        <v>148170</v>
      </c>
      <c r="D15" s="271">
        <f>'[1]Unpaid Loss Reserves-13'!D9</f>
        <v>51262</v>
      </c>
      <c r="E15" s="195">
        <v>0</v>
      </c>
      <c r="F15" s="292">
        <f>SUM(B15:E15)</f>
        <v>1193496</v>
      </c>
    </row>
    <row r="16" spans="1:6" ht="15" customHeight="1">
      <c r="A16" s="270" t="s">
        <v>190</v>
      </c>
      <c r="B16" s="271">
        <f>'[1]Unpaid Loss Reserves-13'!B10</f>
        <v>73000</v>
      </c>
      <c r="C16" s="271">
        <f>'[1]Unpaid Loss Reserves-13'!C10</f>
        <v>12500</v>
      </c>
      <c r="D16" s="195">
        <f>'[1]Unpaid Loss Reserves-13'!D10</f>
        <v>0</v>
      </c>
      <c r="E16" s="195">
        <v>0</v>
      </c>
      <c r="F16" s="292">
        <f>SUM(B16:E16)</f>
        <v>85500</v>
      </c>
    </row>
    <row r="17" spans="1:6" ht="15" customHeight="1">
      <c r="A17" s="270" t="s">
        <v>191</v>
      </c>
      <c r="B17" s="195">
        <f>'[1]Unpaid Loss Reserves-13'!B11</f>
        <v>0</v>
      </c>
      <c r="C17" s="195">
        <f>'[1]Unpaid Loss Reserves-13'!C11</f>
        <v>0</v>
      </c>
      <c r="D17" s="195">
        <f>'[1]Unpaid Loss Reserves-13'!D11</f>
        <v>0</v>
      </c>
      <c r="E17" s="195">
        <v>0</v>
      </c>
      <c r="F17" s="195">
        <f>SUM(B17:E17)</f>
        <v>0</v>
      </c>
    </row>
    <row r="18" spans="1:6" ht="15" customHeight="1" thickBot="1">
      <c r="A18" s="272" t="s">
        <v>163</v>
      </c>
      <c r="B18" s="147">
        <f>SUM(B15:B17)</f>
        <v>1067064</v>
      </c>
      <c r="C18" s="147">
        <f>SUM(C15:C17)</f>
        <v>160670</v>
      </c>
      <c r="D18" s="147">
        <f>SUM(D15:D17)</f>
        <v>51262</v>
      </c>
      <c r="E18" s="228">
        <f>SUM(E15:E17)</f>
        <v>0</v>
      </c>
      <c r="F18" s="273">
        <f>SUM(F15:F17)</f>
        <v>1278996</v>
      </c>
    </row>
    <row r="19" spans="1:6" ht="15" customHeight="1" thickTop="1">
      <c r="A19" s="267"/>
      <c r="B19" s="105"/>
      <c r="C19" s="105"/>
      <c r="D19" s="105"/>
      <c r="E19" s="277"/>
      <c r="F19" s="278"/>
    </row>
    <row r="20" spans="1:6" ht="15" customHeight="1">
      <c r="A20" s="267" t="s">
        <v>192</v>
      </c>
      <c r="B20" s="275"/>
      <c r="C20" s="275"/>
      <c r="D20" s="275"/>
      <c r="E20" s="275"/>
      <c r="F20" s="279"/>
    </row>
    <row r="21" spans="1:6" ht="15" customHeight="1">
      <c r="A21" s="270" t="s">
        <v>189</v>
      </c>
      <c r="B21" s="271">
        <f>'[1]Unpaid Loss Reserves-13'!B16</f>
        <v>420316</v>
      </c>
      <c r="C21" s="271">
        <f>'[1]Unpaid Loss Reserves-13'!C16</f>
        <v>78606</v>
      </c>
      <c r="D21" s="195">
        <f>'[1]Unpaid Loss Reserves-13'!D16</f>
        <v>0</v>
      </c>
      <c r="E21" s="195">
        <v>0</v>
      </c>
      <c r="F21" s="292">
        <f>SUM(B21:E21)</f>
        <v>498922</v>
      </c>
    </row>
    <row r="22" spans="1:6" ht="15" customHeight="1">
      <c r="A22" s="270" t="s">
        <v>190</v>
      </c>
      <c r="B22" s="271">
        <f>'[1]Unpaid Loss Reserves-13'!B17</f>
        <v>30866</v>
      </c>
      <c r="C22" s="271">
        <f>'[1]Unpaid Loss Reserves-13'!C17</f>
        <v>6631</v>
      </c>
      <c r="D22" s="195">
        <f>'[1]Unpaid Loss Reserves-13'!D17</f>
        <v>0</v>
      </c>
      <c r="E22" s="195">
        <v>0</v>
      </c>
      <c r="F22" s="292">
        <f>SUM(B22:E22)</f>
        <v>37497</v>
      </c>
    </row>
    <row r="23" spans="1:6" ht="15" customHeight="1">
      <c r="A23" s="270" t="s">
        <v>191</v>
      </c>
      <c r="B23" s="195">
        <f>'[1]Unpaid Loss Reserves-13'!B18</f>
        <v>0</v>
      </c>
      <c r="C23" s="195">
        <f>'[1]Unpaid Loss Reserves-13'!C18</f>
        <v>0</v>
      </c>
      <c r="D23" s="195">
        <f>'[1]Unpaid Loss Reserves-13'!D18</f>
        <v>0</v>
      </c>
      <c r="E23" s="195">
        <v>0</v>
      </c>
      <c r="F23" s="195">
        <f>SUM(B23:E23)</f>
        <v>0</v>
      </c>
    </row>
    <row r="24" spans="1:6" ht="15" customHeight="1" thickBot="1">
      <c r="A24" s="272" t="s">
        <v>163</v>
      </c>
      <c r="B24" s="147">
        <f>SUM(B21:B23)</f>
        <v>451182</v>
      </c>
      <c r="C24" s="147">
        <f>SUM(C21:C23)</f>
        <v>85237</v>
      </c>
      <c r="D24" s="228">
        <f>SUM(D21:D23)</f>
        <v>0</v>
      </c>
      <c r="E24" s="228">
        <f>SUM(E21:E23)</f>
        <v>0</v>
      </c>
      <c r="F24" s="273">
        <f>SUM(F21:F23)</f>
        <v>536419</v>
      </c>
    </row>
    <row r="25" spans="1:6" ht="15" customHeight="1" thickTop="1">
      <c r="A25" s="267"/>
      <c r="B25" s="274"/>
      <c r="C25" s="274"/>
      <c r="D25" s="274"/>
      <c r="E25" s="275"/>
      <c r="F25" s="276"/>
    </row>
    <row r="26" spans="1:6" ht="15" customHeight="1">
      <c r="A26" s="267" t="s">
        <v>196</v>
      </c>
      <c r="B26" s="280"/>
      <c r="C26" s="280"/>
      <c r="D26" s="280"/>
      <c r="E26" s="275"/>
      <c r="F26" s="276"/>
    </row>
    <row r="27" spans="1:6" ht="15" customHeight="1">
      <c r="A27" s="267" t="s">
        <v>194</v>
      </c>
      <c r="B27" s="280"/>
      <c r="C27" s="280"/>
      <c r="D27" s="280"/>
      <c r="E27" s="275"/>
      <c r="F27" s="276"/>
    </row>
    <row r="28" spans="1:6" ht="15" customHeight="1">
      <c r="A28" s="270" t="s">
        <v>189</v>
      </c>
      <c r="B28" s="195">
        <v>0</v>
      </c>
      <c r="C28" s="271">
        <v>1354361.33</v>
      </c>
      <c r="D28" s="271">
        <v>124841.95999999999</v>
      </c>
      <c r="E28" s="271">
        <v>37261.78</v>
      </c>
      <c r="F28" s="292">
        <f>SUM(B28:E28)</f>
        <v>1516465.07</v>
      </c>
    </row>
    <row r="29" spans="1:6" ht="15" customHeight="1">
      <c r="A29" s="270" t="s">
        <v>190</v>
      </c>
      <c r="B29" s="195">
        <v>0</v>
      </c>
      <c r="C29" s="271">
        <v>180394.51</v>
      </c>
      <c r="D29" s="271">
        <v>102176.70999999999</v>
      </c>
      <c r="E29" s="292">
        <v>68100</v>
      </c>
      <c r="F29" s="292">
        <f>SUM(B29:E29)+1</f>
        <v>350672.22</v>
      </c>
    </row>
    <row r="30" spans="1:6" ht="15" customHeight="1">
      <c r="A30" s="270" t="s">
        <v>191</v>
      </c>
      <c r="B30" s="195">
        <v>0</v>
      </c>
      <c r="C30" s="195">
        <v>0</v>
      </c>
      <c r="D30" s="195">
        <v>0</v>
      </c>
      <c r="E30" s="195">
        <v>0</v>
      </c>
      <c r="F30" s="195">
        <f>SUM(B30:E30)</f>
        <v>0</v>
      </c>
    </row>
    <row r="31" spans="1:6" ht="15" customHeight="1" thickBot="1">
      <c r="A31" s="272" t="s">
        <v>163</v>
      </c>
      <c r="B31" s="228">
        <f>SUM(B28:B30)</f>
        <v>0</v>
      </c>
      <c r="C31" s="147">
        <f>SUM(C28:C30)</f>
        <v>1534755.84</v>
      </c>
      <c r="D31" s="147">
        <f>SUM(D28:D30)</f>
        <v>227018.66999999998</v>
      </c>
      <c r="E31" s="293">
        <f>SUM(E28:E30)</f>
        <v>105361.78</v>
      </c>
      <c r="F31" s="273">
        <f>SUM(F28:F30)</f>
        <v>1867137.29</v>
      </c>
    </row>
    <row r="32" spans="1:6" s="282" customFormat="1" ht="15" customHeight="1" thickTop="1">
      <c r="A32" s="267"/>
      <c r="B32" s="280"/>
      <c r="C32" s="280"/>
      <c r="D32" s="280"/>
      <c r="E32" s="280"/>
      <c r="F32" s="281"/>
    </row>
    <row r="33" spans="1:6" ht="15" customHeight="1">
      <c r="A33" s="267" t="s">
        <v>195</v>
      </c>
      <c r="B33" s="274"/>
      <c r="C33" s="274"/>
      <c r="D33" s="274"/>
      <c r="E33" s="275"/>
      <c r="F33" s="276"/>
    </row>
    <row r="34" spans="1:6" ht="15" customHeight="1">
      <c r="A34" s="270" t="s">
        <v>189</v>
      </c>
      <c r="B34" s="271">
        <f aca="true" t="shared" si="0" ref="B34:E36">B9+B15+B21-B28</f>
        <v>2244599</v>
      </c>
      <c r="C34" s="271">
        <f t="shared" si="0"/>
        <v>997205.6699999999</v>
      </c>
      <c r="D34" s="271">
        <f t="shared" si="0"/>
        <v>188647.04</v>
      </c>
      <c r="E34" s="283">
        <f t="shared" si="0"/>
        <v>-37261.78</v>
      </c>
      <c r="F34" s="271">
        <f>SUM(B34:E34)</f>
        <v>3393189.93</v>
      </c>
    </row>
    <row r="35" spans="1:6" ht="15" customHeight="1">
      <c r="A35" s="270" t="s">
        <v>190</v>
      </c>
      <c r="B35" s="271">
        <f t="shared" si="0"/>
        <v>208282</v>
      </c>
      <c r="C35" s="271">
        <f t="shared" si="0"/>
        <v>389767.49</v>
      </c>
      <c r="D35" s="283">
        <f t="shared" si="0"/>
        <v>-5206.709999999992</v>
      </c>
      <c r="E35" s="283">
        <f t="shared" si="0"/>
        <v>-68100</v>
      </c>
      <c r="F35" s="271">
        <f>SUM(B35:E35)-1</f>
        <v>524741.78</v>
      </c>
    </row>
    <row r="36" spans="1:6" ht="15" customHeight="1">
      <c r="A36" s="270" t="s">
        <v>191</v>
      </c>
      <c r="B36" s="195">
        <f t="shared" si="0"/>
        <v>0</v>
      </c>
      <c r="C36" s="271">
        <f t="shared" si="0"/>
        <v>1930</v>
      </c>
      <c r="D36" s="195">
        <f t="shared" si="0"/>
        <v>0</v>
      </c>
      <c r="E36" s="195">
        <f t="shared" si="0"/>
        <v>0</v>
      </c>
      <c r="F36" s="271">
        <f>SUM(B36:E36)</f>
        <v>1930</v>
      </c>
    </row>
    <row r="37" spans="1:6" ht="15" customHeight="1" thickBot="1">
      <c r="A37" s="272" t="s">
        <v>163</v>
      </c>
      <c r="B37" s="284">
        <f>SUM(B34:B36)</f>
        <v>2452881</v>
      </c>
      <c r="C37" s="284">
        <f>SUM(C34:C36)</f>
        <v>1388903.16</v>
      </c>
      <c r="D37" s="284">
        <f>SUM(D34:D36)</f>
        <v>183440.33000000002</v>
      </c>
      <c r="E37" s="284">
        <f>SUM(E34:E36)</f>
        <v>-105361.78</v>
      </c>
      <c r="F37" s="284">
        <f>SUM(F34:F36)</f>
        <v>3919861.71</v>
      </c>
    </row>
    <row r="38" spans="2:4" ht="15" customHeight="1" thickTop="1">
      <c r="B38" s="279"/>
      <c r="C38" s="279"/>
      <c r="D38" s="279"/>
    </row>
    <row r="39" spans="1:6" s="290" customFormat="1" ht="15" customHeight="1">
      <c r="A39" s="287"/>
      <c r="B39" s="288"/>
      <c r="C39" s="288"/>
      <c r="D39" s="288"/>
      <c r="E39" s="289"/>
      <c r="F39" s="289"/>
    </row>
    <row r="40" spans="2:4" ht="15" customHeight="1">
      <c r="B40" s="268"/>
      <c r="C40" s="268"/>
      <c r="D40" s="268"/>
    </row>
    <row r="41" spans="2:4" ht="15" customHeight="1">
      <c r="B41" s="268"/>
      <c r="C41" s="268"/>
      <c r="D41" s="268"/>
    </row>
    <row r="42" spans="2:4" ht="15" customHeight="1">
      <c r="B42" s="268"/>
      <c r="C42" s="268"/>
      <c r="D42" s="268"/>
    </row>
    <row r="43" spans="1:4" ht="15" customHeight="1">
      <c r="A43" s="260"/>
      <c r="B43" s="268"/>
      <c r="C43" s="268"/>
      <c r="D43" s="268"/>
    </row>
    <row r="44" spans="1:4" ht="15" customHeight="1">
      <c r="A44" s="260"/>
      <c r="B44" s="268"/>
      <c r="C44" s="268"/>
      <c r="D44" s="268"/>
    </row>
    <row r="45" spans="1:4" ht="15" customHeight="1">
      <c r="A45" s="260"/>
      <c r="B45" s="268"/>
      <c r="C45" s="268"/>
      <c r="D45" s="268"/>
    </row>
    <row r="46" spans="1:4" ht="15" customHeight="1">
      <c r="A46" s="260"/>
      <c r="B46" s="268"/>
      <c r="C46" s="268"/>
      <c r="D46" s="268"/>
    </row>
    <row r="47" spans="1:4" ht="15" customHeight="1">
      <c r="A47" s="260"/>
      <c r="B47" s="268"/>
      <c r="C47" s="268"/>
      <c r="D47" s="268"/>
    </row>
    <row r="48" spans="1:4" ht="15" customHeight="1">
      <c r="A48" s="260"/>
      <c r="B48" s="268"/>
      <c r="C48" s="268"/>
      <c r="D48" s="268"/>
    </row>
    <row r="49" spans="1:4" s="190" customFormat="1" ht="15" customHeight="1">
      <c r="A49" s="260"/>
      <c r="B49" s="268"/>
      <c r="C49" s="268"/>
      <c r="D49" s="268"/>
    </row>
    <row r="50" spans="1:4" s="190" customFormat="1" ht="15" customHeight="1">
      <c r="A50" s="260"/>
      <c r="B50" s="268"/>
      <c r="C50" s="268"/>
      <c r="D50" s="268"/>
    </row>
    <row r="51" spans="1:4" s="190" customFormat="1" ht="15" customHeight="1">
      <c r="A51" s="260"/>
      <c r="B51" s="268"/>
      <c r="C51" s="268"/>
      <c r="D51" s="268"/>
    </row>
    <row r="52" spans="1:4" s="190" customFormat="1" ht="15" customHeight="1">
      <c r="A52" s="260"/>
      <c r="B52" s="268"/>
      <c r="C52" s="268"/>
      <c r="D52" s="268"/>
    </row>
    <row r="53" spans="1:4" s="190" customFormat="1" ht="15" customHeight="1">
      <c r="A53" s="260"/>
      <c r="B53" s="268"/>
      <c r="C53" s="268"/>
      <c r="D53" s="268"/>
    </row>
    <row r="54" spans="1:4" s="190" customFormat="1" ht="15" customHeight="1">
      <c r="A54" s="260"/>
      <c r="B54" s="268"/>
      <c r="C54" s="268"/>
      <c r="D54" s="268"/>
    </row>
    <row r="55" spans="1:4" s="190" customFormat="1" ht="15" customHeight="1">
      <c r="A55" s="260"/>
      <c r="B55" s="291"/>
      <c r="C55" s="291"/>
      <c r="D55" s="291"/>
    </row>
    <row r="56" spans="1:4" s="190" customFormat="1" ht="15" customHeight="1">
      <c r="A56" s="260"/>
      <c r="B56" s="291"/>
      <c r="C56" s="291"/>
      <c r="D56" s="291"/>
    </row>
    <row r="57" spans="1:4" s="190" customFormat="1" ht="15" customHeight="1">
      <c r="A57" s="260"/>
      <c r="B57" s="291"/>
      <c r="C57" s="291"/>
      <c r="D57" s="291"/>
    </row>
    <row r="58" spans="1:4" s="190" customFormat="1" ht="15" customHeight="1">
      <c r="A58" s="260"/>
      <c r="B58" s="291"/>
      <c r="C58" s="291"/>
      <c r="D58" s="291"/>
    </row>
    <row r="59" spans="1:4" s="190" customFormat="1" ht="15" customHeight="1">
      <c r="A59" s="260"/>
      <c r="B59" s="291"/>
      <c r="C59" s="291"/>
      <c r="D59" s="291"/>
    </row>
    <row r="60" spans="1:4" s="190" customFormat="1" ht="15" customHeight="1">
      <c r="A60" s="260"/>
      <c r="B60" s="291"/>
      <c r="C60" s="291"/>
      <c r="D60" s="291"/>
    </row>
    <row r="61" spans="1:4" s="190" customFormat="1" ht="15" customHeight="1">
      <c r="A61" s="260"/>
      <c r="B61" s="291"/>
      <c r="C61" s="291"/>
      <c r="D61" s="291"/>
    </row>
    <row r="62" spans="1:4" s="190" customFormat="1" ht="15" customHeight="1">
      <c r="A62" s="260"/>
      <c r="B62" s="291"/>
      <c r="C62" s="291"/>
      <c r="D62" s="291"/>
    </row>
    <row r="63" spans="1:4" s="190" customFormat="1" ht="15" customHeight="1">
      <c r="A63" s="260"/>
      <c r="B63" s="291"/>
      <c r="C63" s="291"/>
      <c r="D63" s="291"/>
    </row>
    <row r="64" spans="1:4" s="190" customFormat="1" ht="15" customHeight="1">
      <c r="A64" s="260"/>
      <c r="B64" s="291"/>
      <c r="C64" s="291"/>
      <c r="D64" s="291"/>
    </row>
    <row r="65" s="190" customFormat="1" ht="15" customHeight="1">
      <c r="A65" s="260"/>
    </row>
    <row r="66" s="190" customFormat="1" ht="15" customHeight="1">
      <c r="A66" s="260"/>
    </row>
    <row r="67" s="190" customFormat="1" ht="15" customHeight="1">
      <c r="A67" s="260"/>
    </row>
    <row r="68" s="190" customFormat="1" ht="15" customHeight="1">
      <c r="A68" s="260"/>
    </row>
    <row r="69" s="190" customFormat="1" ht="15" customHeight="1">
      <c r="A69" s="260"/>
    </row>
    <row r="70" s="190" customFormat="1" ht="15" customHeight="1">
      <c r="A70" s="260"/>
    </row>
    <row r="71" s="190" customFormat="1" ht="15" customHeight="1">
      <c r="A71" s="260"/>
    </row>
    <row r="72" s="190" customFormat="1" ht="15" customHeight="1">
      <c r="A72" s="260"/>
    </row>
    <row r="73" s="190" customFormat="1" ht="15" customHeight="1">
      <c r="A73" s="260"/>
    </row>
    <row r="74" s="190" customFormat="1" ht="15" customHeight="1">
      <c r="A74" s="260"/>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AL79"/>
  <sheetViews>
    <sheetView zoomScalePageLayoutView="0" workbookViewId="0" topLeftCell="A1">
      <selection activeCell="D59" sqref="D59"/>
    </sheetView>
  </sheetViews>
  <sheetFormatPr defaultColWidth="15.7109375" defaultRowHeight="15" customHeight="1"/>
  <cols>
    <col min="1" max="1" width="45.7109375" style="55" customWidth="1"/>
    <col min="2" max="2" width="19.00390625" style="240" customWidth="1"/>
    <col min="3" max="3" width="18.421875" style="240" customWidth="1"/>
    <col min="4" max="4" width="18.140625" style="240" customWidth="1"/>
    <col min="5" max="5" width="19.28125" style="79" customWidth="1"/>
    <col min="6" max="6" width="20.7109375" style="79" customWidth="1"/>
    <col min="7" max="7" width="15.7109375" style="79" customWidth="1"/>
    <col min="8" max="16384" width="15.7109375" style="55" customWidth="1"/>
  </cols>
  <sheetData>
    <row r="1" spans="1:7" s="299" customFormat="1" ht="30" customHeight="1">
      <c r="A1" s="294" t="s">
        <v>0</v>
      </c>
      <c r="B1" s="295"/>
      <c r="C1" s="295"/>
      <c r="D1" s="295"/>
      <c r="E1" s="296"/>
      <c r="F1" s="297"/>
      <c r="G1" s="298"/>
    </row>
    <row r="2" spans="1:6" ht="15" customHeight="1">
      <c r="A2" s="90"/>
      <c r="B2" s="300"/>
      <c r="C2" s="300"/>
      <c r="D2" s="300"/>
      <c r="E2" s="300"/>
      <c r="F2" s="301"/>
    </row>
    <row r="3" spans="1:7" s="151" customFormat="1" ht="15" customHeight="1">
      <c r="A3" s="302" t="s">
        <v>197</v>
      </c>
      <c r="B3" s="303"/>
      <c r="C3" s="303"/>
      <c r="D3" s="303"/>
      <c r="E3" s="304"/>
      <c r="F3" s="305"/>
      <c r="G3" s="150"/>
    </row>
    <row r="4" spans="1:7" s="151" customFormat="1" ht="15" customHeight="1">
      <c r="A4" s="302" t="s">
        <v>198</v>
      </c>
      <c r="B4" s="303"/>
      <c r="C4" s="303"/>
      <c r="D4" s="303"/>
      <c r="E4" s="304"/>
      <c r="F4" s="305"/>
      <c r="G4" s="150"/>
    </row>
    <row r="5" spans="1:7" s="151" customFormat="1" ht="15" customHeight="1">
      <c r="A5" s="50" t="s">
        <v>109</v>
      </c>
      <c r="B5" s="303"/>
      <c r="C5" s="303"/>
      <c r="D5" s="303"/>
      <c r="E5" s="304"/>
      <c r="F5" s="305"/>
      <c r="G5" s="150"/>
    </row>
    <row r="6" spans="1:6" ht="15" customHeight="1">
      <c r="A6" s="306"/>
      <c r="E6" s="301"/>
      <c r="F6" s="301"/>
    </row>
    <row r="7" spans="1:6" ht="30" customHeight="1">
      <c r="A7" s="191"/>
      <c r="B7" s="215" t="s">
        <v>69</v>
      </c>
      <c r="C7" s="215" t="s">
        <v>70</v>
      </c>
      <c r="D7" s="215" t="s">
        <v>71</v>
      </c>
      <c r="E7" s="215" t="s">
        <v>72</v>
      </c>
      <c r="F7" s="307" t="s">
        <v>73</v>
      </c>
    </row>
    <row r="8" spans="1:6" ht="30" customHeight="1">
      <c r="A8" s="308" t="s">
        <v>199</v>
      </c>
      <c r="B8" s="309"/>
      <c r="C8" s="309"/>
      <c r="D8" s="309"/>
      <c r="F8" s="310"/>
    </row>
    <row r="9" spans="1:37" ht="15" customHeight="1">
      <c r="A9" s="55" t="s">
        <v>200</v>
      </c>
      <c r="B9" s="193">
        <f>'[1]Loss Expenses Paid QTD-15'!K21</f>
        <v>71700</v>
      </c>
      <c r="C9" s="193">
        <f>'[1]Loss Expenses Paid QTD-15'!K15</f>
        <v>45042</v>
      </c>
      <c r="D9" s="193">
        <f>'[1]Loss Expenses Paid QTD-15'!K9</f>
        <v>44657</v>
      </c>
      <c r="E9" s="230">
        <v>0</v>
      </c>
      <c r="F9" s="193">
        <f>SUM(B9:E9)</f>
        <v>161399</v>
      </c>
      <c r="G9" s="17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row>
    <row r="10" spans="1:37" s="74" customFormat="1" ht="15" customHeight="1">
      <c r="A10" s="74" t="s">
        <v>201</v>
      </c>
      <c r="B10" s="312">
        <f>'[1]Loss Expenses Paid QTD-15'!K22</f>
        <v>27628</v>
      </c>
      <c r="C10" s="312">
        <f>'[1]Loss Expenses Paid QTD-15'!K16</f>
        <v>28894</v>
      </c>
      <c r="D10" s="312">
        <f>'[1]Loss Expenses Paid QTD-15'!K10</f>
        <v>17139</v>
      </c>
      <c r="E10" s="230">
        <v>0</v>
      </c>
      <c r="F10" s="234">
        <f>SUM(B10:E10)</f>
        <v>73661</v>
      </c>
      <c r="G10" s="171"/>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row>
    <row r="11" spans="1:37" s="74" customFormat="1" ht="15" customHeight="1">
      <c r="A11" s="74" t="s">
        <v>202</v>
      </c>
      <c r="B11" s="230">
        <f>'[1]Loss Expenses Paid QTD-15'!K23</f>
        <v>0</v>
      </c>
      <c r="C11" s="230">
        <f>'[1]Loss Expenses Paid QTD-15'!K17</f>
        <v>0</v>
      </c>
      <c r="D11" s="230">
        <f>'[1]Loss Expenses Paid QTD-15'!K11</f>
        <v>0</v>
      </c>
      <c r="E11" s="230">
        <v>0</v>
      </c>
      <c r="F11" s="230">
        <f>SUM(B11:E11)</f>
        <v>0</v>
      </c>
      <c r="G11" s="171"/>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row>
    <row r="12" spans="1:37" s="74" customFormat="1" ht="15" customHeight="1" thickBot="1">
      <c r="A12" s="314" t="s">
        <v>163</v>
      </c>
      <c r="B12" s="226">
        <f>SUM(B9:B11)</f>
        <v>99328</v>
      </c>
      <c r="C12" s="226">
        <f>SUM(C9:C11)</f>
        <v>73936</v>
      </c>
      <c r="D12" s="226">
        <f>SUM(D9:D11)</f>
        <v>61796</v>
      </c>
      <c r="E12" s="315">
        <f>SUM(E9:E11)</f>
        <v>0</v>
      </c>
      <c r="F12" s="229">
        <f>SUM(F9:F11)</f>
        <v>235060</v>
      </c>
      <c r="G12" s="178"/>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row>
    <row r="13" spans="2:37" s="74" customFormat="1" ht="15" customHeight="1" thickTop="1">
      <c r="B13" s="232"/>
      <c r="C13" s="232"/>
      <c r="D13" s="232"/>
      <c r="E13" s="171"/>
      <c r="F13" s="79"/>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row>
    <row r="14" spans="1:37" s="74" customFormat="1" ht="30" customHeight="1">
      <c r="A14" s="316" t="s">
        <v>203</v>
      </c>
      <c r="B14" s="232"/>
      <c r="C14" s="232"/>
      <c r="D14" s="232"/>
      <c r="E14" s="171"/>
      <c r="F14" s="178"/>
      <c r="G14" s="171"/>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row>
    <row r="15" spans="1:37" s="74" customFormat="1" ht="15" customHeight="1">
      <c r="A15" s="55" t="s">
        <v>200</v>
      </c>
      <c r="B15" s="234">
        <f>'[1]Unpaid Loss Expense Reserves-14'!B22</f>
        <v>279475</v>
      </c>
      <c r="C15" s="234">
        <f>'[1]Unpaid Loss Expense Reserves-14'!C22</f>
        <v>71458</v>
      </c>
      <c r="D15" s="234">
        <f>'[1]Unpaid Loss Expense Reserves-14'!D22</f>
        <v>28796</v>
      </c>
      <c r="E15" s="230">
        <v>0</v>
      </c>
      <c r="F15" s="234">
        <f>SUM(B15:E15)</f>
        <v>379729</v>
      </c>
      <c r="G15" s="171"/>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row>
    <row r="16" spans="1:37" s="74" customFormat="1" ht="15" customHeight="1">
      <c r="A16" s="74" t="s">
        <v>201</v>
      </c>
      <c r="B16" s="234">
        <f>'[1]Unpaid Loss Expense Reserves-14'!B23</f>
        <v>20524</v>
      </c>
      <c r="C16" s="234">
        <f>'[1]Unpaid Loss Expense Reserves-14'!C23</f>
        <v>6028</v>
      </c>
      <c r="D16" s="230">
        <f>'[1]Unpaid Loss Expense Reserves-14'!D23</f>
        <v>0</v>
      </c>
      <c r="E16" s="230">
        <v>0</v>
      </c>
      <c r="F16" s="234">
        <f>SUM(B16:E16)</f>
        <v>26552</v>
      </c>
      <c r="G16" s="171"/>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row>
    <row r="17" spans="1:37" s="74" customFormat="1" ht="15" customHeight="1">
      <c r="A17" s="74" t="s">
        <v>202</v>
      </c>
      <c r="B17" s="230">
        <f>'[1]Unpaid Loss Expense Reserves-14'!B24</f>
        <v>0</v>
      </c>
      <c r="C17" s="230">
        <f>'[1]Unpaid Loss Expense Reserves-14'!C24</f>
        <v>0</v>
      </c>
      <c r="D17" s="230">
        <f>'[1]Unpaid Loss Expense Reserves-14'!D24</f>
        <v>0</v>
      </c>
      <c r="E17" s="230">
        <v>0</v>
      </c>
      <c r="F17" s="230">
        <f>SUM(B17:E17)</f>
        <v>0</v>
      </c>
      <c r="G17" s="171"/>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row>
    <row r="18" spans="1:37" s="74" customFormat="1" ht="15" customHeight="1" thickBot="1">
      <c r="A18" s="314" t="s">
        <v>163</v>
      </c>
      <c r="B18" s="226">
        <f>SUM(B15:B17)</f>
        <v>299999</v>
      </c>
      <c r="C18" s="226">
        <f>SUM(C15:C17)</f>
        <v>77486</v>
      </c>
      <c r="D18" s="226">
        <f>SUM(D15:D17)</f>
        <v>28796</v>
      </c>
      <c r="E18" s="315">
        <f>SUM(E15:E17)</f>
        <v>0</v>
      </c>
      <c r="F18" s="229">
        <f>SUM(F15:F17)</f>
        <v>406281</v>
      </c>
      <c r="G18" s="178"/>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row>
    <row r="19" spans="2:37" s="74" customFormat="1" ht="15" customHeight="1" thickTop="1">
      <c r="B19" s="232"/>
      <c r="C19" s="232"/>
      <c r="D19" s="232"/>
      <c r="E19" s="171"/>
      <c r="F19" s="79"/>
      <c r="G19" s="317"/>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row>
    <row r="20" spans="1:37" s="74" customFormat="1" ht="30" customHeight="1">
      <c r="A20" s="316" t="s">
        <v>204</v>
      </c>
      <c r="B20" s="318"/>
      <c r="C20" s="318"/>
      <c r="D20" s="318"/>
      <c r="E20" s="319"/>
      <c r="F20" s="178"/>
      <c r="G20" s="171"/>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row>
    <row r="21" spans="1:37" s="74" customFormat="1" ht="15" customHeight="1">
      <c r="A21" s="55" t="s">
        <v>200</v>
      </c>
      <c r="B21" s="234">
        <v>174544</v>
      </c>
      <c r="C21" s="234">
        <v>115132</v>
      </c>
      <c r="D21" s="234">
        <v>38376</v>
      </c>
      <c r="E21" s="230">
        <v>0</v>
      </c>
      <c r="F21" s="234">
        <f>SUM(B21:E21)</f>
        <v>328052</v>
      </c>
      <c r="G21" s="171"/>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row>
    <row r="22" spans="1:37" s="74" customFormat="1" ht="15" customHeight="1">
      <c r="A22" s="74" t="s">
        <v>205</v>
      </c>
      <c r="B22" s="234">
        <v>19933</v>
      </c>
      <c r="C22" s="234">
        <v>28470</v>
      </c>
      <c r="D22" s="234">
        <v>7710</v>
      </c>
      <c r="E22" s="230">
        <v>0</v>
      </c>
      <c r="F22" s="234">
        <f>SUM(B22:E22)</f>
        <v>56113</v>
      </c>
      <c r="G22" s="171"/>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row>
    <row r="23" spans="1:37" s="74" customFormat="1" ht="15" customHeight="1">
      <c r="A23" s="74" t="s">
        <v>202</v>
      </c>
      <c r="B23" s="230">
        <v>0</v>
      </c>
      <c r="C23" s="230">
        <v>0</v>
      </c>
      <c r="D23" s="230">
        <v>0</v>
      </c>
      <c r="E23" s="230">
        <v>0</v>
      </c>
      <c r="F23" s="230">
        <f>SUM(B23:E23)</f>
        <v>0</v>
      </c>
      <c r="G23" s="171"/>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row>
    <row r="24" spans="1:37" s="74" customFormat="1" ht="15" customHeight="1" thickBot="1">
      <c r="A24" s="314" t="s">
        <v>163</v>
      </c>
      <c r="B24" s="226">
        <f>SUM(B21:B23)</f>
        <v>194477</v>
      </c>
      <c r="C24" s="226">
        <f>SUM(C21:C23)</f>
        <v>143602</v>
      </c>
      <c r="D24" s="226">
        <f>SUM(D21:D23)</f>
        <v>46086</v>
      </c>
      <c r="E24" s="315">
        <f>SUM(E21:E23)</f>
        <v>0</v>
      </c>
      <c r="F24" s="229">
        <f>SUM(F21:F23)</f>
        <v>384165</v>
      </c>
      <c r="G24" s="178"/>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row>
    <row r="25" spans="2:37" s="320" customFormat="1" ht="15" customHeight="1" thickTop="1">
      <c r="B25" s="318"/>
      <c r="C25" s="318"/>
      <c r="D25" s="318"/>
      <c r="E25" s="318"/>
      <c r="F25" s="318"/>
      <c r="G25" s="321"/>
      <c r="H25" s="313"/>
      <c r="I25" s="313"/>
      <c r="J25" s="313"/>
      <c r="K25" s="313"/>
      <c r="L25" s="313"/>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row>
    <row r="26" spans="1:37" s="74" customFormat="1" ht="30" customHeight="1">
      <c r="A26" s="316" t="s">
        <v>206</v>
      </c>
      <c r="B26" s="232"/>
      <c r="C26" s="232"/>
      <c r="D26" s="232"/>
      <c r="E26" s="232"/>
      <c r="F26" s="232"/>
      <c r="G26" s="171"/>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row>
    <row r="27" spans="1:37" s="74" customFormat="1" ht="15" customHeight="1">
      <c r="A27" s="74" t="s">
        <v>200</v>
      </c>
      <c r="B27" s="234">
        <f aca="true" t="shared" si="0" ref="B27:E29">B9+B15-B21</f>
        <v>176631</v>
      </c>
      <c r="C27" s="222">
        <f t="shared" si="0"/>
        <v>1368</v>
      </c>
      <c r="D27" s="222">
        <f t="shared" si="0"/>
        <v>35077</v>
      </c>
      <c r="E27" s="230">
        <f t="shared" si="0"/>
        <v>0</v>
      </c>
      <c r="F27" s="234">
        <f>SUM(B27:E27)</f>
        <v>213076</v>
      </c>
      <c r="G27" s="171"/>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row>
    <row r="28" spans="1:37" s="74" customFormat="1" ht="15" customHeight="1">
      <c r="A28" s="74" t="s">
        <v>201</v>
      </c>
      <c r="B28" s="234">
        <f t="shared" si="0"/>
        <v>28219</v>
      </c>
      <c r="C28" s="222">
        <f t="shared" si="0"/>
        <v>6452</v>
      </c>
      <c r="D28" s="222">
        <f t="shared" si="0"/>
        <v>9429</v>
      </c>
      <c r="E28" s="230">
        <f t="shared" si="0"/>
        <v>0</v>
      </c>
      <c r="F28" s="222">
        <f>SUM(B28:E28)</f>
        <v>44100</v>
      </c>
      <c r="G28" s="171"/>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row>
    <row r="29" spans="1:37" s="74" customFormat="1" ht="15" customHeight="1">
      <c r="A29" s="74" t="s">
        <v>202</v>
      </c>
      <c r="B29" s="230">
        <f t="shared" si="0"/>
        <v>0</v>
      </c>
      <c r="C29" s="230">
        <f t="shared" si="0"/>
        <v>0</v>
      </c>
      <c r="D29" s="230">
        <f t="shared" si="0"/>
        <v>0</v>
      </c>
      <c r="E29" s="230">
        <f t="shared" si="0"/>
        <v>0</v>
      </c>
      <c r="F29" s="230">
        <f>SUM(B29:E29)</f>
        <v>0</v>
      </c>
      <c r="G29" s="171"/>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row>
    <row r="30" spans="1:37" ht="15" customHeight="1" thickBot="1">
      <c r="A30" s="47" t="s">
        <v>163</v>
      </c>
      <c r="B30" s="284">
        <f>SUM(B27:B29)</f>
        <v>204850</v>
      </c>
      <c r="C30" s="284">
        <f>SUM(C27:C29)</f>
        <v>7820</v>
      </c>
      <c r="D30" s="284">
        <f>SUM(D27:D29)</f>
        <v>44506</v>
      </c>
      <c r="E30" s="229">
        <f>SUM(E27:E29)</f>
        <v>0</v>
      </c>
      <c r="F30" s="284">
        <f>SUM(F27:F29)</f>
        <v>257176</v>
      </c>
      <c r="G30" s="17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row>
    <row r="31" spans="2:38" ht="15" customHeight="1" thickTop="1">
      <c r="B31" s="231"/>
      <c r="C31" s="231"/>
      <c r="D31" s="231"/>
      <c r="F31" s="17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row>
    <row r="32" spans="2:38" s="79" customFormat="1" ht="15" customHeight="1">
      <c r="B32" s="231"/>
      <c r="C32" s="231"/>
      <c r="D32" s="23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row>
    <row r="33" spans="2:38" ht="15" customHeight="1">
      <c r="B33" s="231"/>
      <c r="C33" s="231"/>
      <c r="D33" s="231"/>
      <c r="F33" s="171"/>
      <c r="G33" s="17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row>
    <row r="34" spans="2:38" ht="15" customHeight="1">
      <c r="B34" s="231"/>
      <c r="C34" s="231"/>
      <c r="D34" s="231"/>
      <c r="F34" s="171"/>
      <c r="G34" s="17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row>
    <row r="35" spans="2:38" ht="15" customHeight="1">
      <c r="B35" s="231"/>
      <c r="C35" s="231"/>
      <c r="D35" s="231"/>
      <c r="F35" s="171"/>
      <c r="G35" s="17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row>
    <row r="36" spans="2:38" ht="15" customHeight="1">
      <c r="B36" s="231"/>
      <c r="C36" s="231"/>
      <c r="D36" s="231"/>
      <c r="F36" s="171"/>
      <c r="G36" s="17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row>
    <row r="37" spans="2:38" ht="15" customHeight="1">
      <c r="B37" s="231"/>
      <c r="C37" s="231"/>
      <c r="D37" s="231"/>
      <c r="F37" s="171"/>
      <c r="G37" s="17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row>
    <row r="38" spans="6:38" ht="15" customHeight="1">
      <c r="F38" s="171"/>
      <c r="G38" s="17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row>
    <row r="39" spans="6:38" ht="15" customHeight="1">
      <c r="F39" s="171"/>
      <c r="G39" s="17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row>
    <row r="40" spans="6:38" ht="15" customHeight="1">
      <c r="F40" s="171"/>
      <c r="G40" s="17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row>
    <row r="41" spans="6:38" ht="15" customHeight="1">
      <c r="F41" s="171"/>
      <c r="G41" s="17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row>
    <row r="42" spans="6:38" ht="15" customHeight="1">
      <c r="F42" s="171"/>
      <c r="G42" s="17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row>
    <row r="43" spans="6:38" ht="15" customHeight="1">
      <c r="F43" s="171"/>
      <c r="G43" s="17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row>
    <row r="44" spans="6:38" ht="15" customHeight="1">
      <c r="F44" s="171"/>
      <c r="G44" s="17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row>
    <row r="45" spans="6:38" ht="15" customHeight="1">
      <c r="F45" s="171"/>
      <c r="G45" s="17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row>
    <row r="46" spans="6:38" ht="15" customHeight="1">
      <c r="F46" s="171"/>
      <c r="G46" s="17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row>
    <row r="47" spans="6:38" ht="15" customHeight="1">
      <c r="F47" s="171"/>
      <c r="G47" s="17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row>
    <row r="48" spans="6:38" ht="15" customHeight="1">
      <c r="F48" s="171"/>
      <c r="G48" s="17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row>
    <row r="49" spans="6:38" s="55" customFormat="1" ht="15" customHeight="1">
      <c r="F49" s="171"/>
      <c r="G49" s="17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row>
    <row r="50" spans="6:38" s="55" customFormat="1" ht="15" customHeight="1">
      <c r="F50" s="171"/>
      <c r="G50" s="17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row>
    <row r="51" spans="6:38" s="55" customFormat="1" ht="15" customHeight="1">
      <c r="F51" s="171"/>
      <c r="G51" s="17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row>
    <row r="52" spans="6:38" s="55" customFormat="1" ht="15" customHeight="1">
      <c r="F52" s="171"/>
      <c r="G52" s="17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row>
    <row r="53" spans="6:38" s="55" customFormat="1" ht="15" customHeight="1">
      <c r="F53" s="171"/>
      <c r="G53" s="17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row>
    <row r="54" spans="6:38" s="55" customFormat="1" ht="15" customHeight="1">
      <c r="F54" s="171"/>
      <c r="G54" s="17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row>
    <row r="55" spans="6:38" s="55" customFormat="1" ht="15" customHeight="1">
      <c r="F55" s="171"/>
      <c r="G55" s="17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row>
    <row r="56" spans="6:38" s="55" customFormat="1" ht="15" customHeight="1">
      <c r="F56" s="171"/>
      <c r="G56" s="17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row>
    <row r="57" spans="6:38" s="55" customFormat="1" ht="15" customHeight="1">
      <c r="F57" s="171"/>
      <c r="G57" s="17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row>
    <row r="58" spans="6:38" s="55" customFormat="1" ht="15" customHeight="1">
      <c r="F58" s="171"/>
      <c r="G58" s="17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row>
    <row r="59" spans="6:38" s="55" customFormat="1" ht="15" customHeight="1">
      <c r="F59" s="171"/>
      <c r="G59" s="17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row>
    <row r="60" spans="6:38" s="55" customFormat="1" ht="15" customHeight="1">
      <c r="F60" s="171"/>
      <c r="G60" s="17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row>
    <row r="61" spans="6:38" s="55" customFormat="1" ht="15" customHeight="1">
      <c r="F61" s="171"/>
      <c r="G61" s="17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row>
    <row r="62" spans="6:38" s="55" customFormat="1" ht="15" customHeight="1">
      <c r="F62" s="171"/>
      <c r="G62" s="17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row>
    <row r="63" spans="6:38" s="55" customFormat="1" ht="15" customHeight="1">
      <c r="F63" s="171"/>
      <c r="G63" s="17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row>
    <row r="64" spans="6:38" s="55" customFormat="1" ht="15" customHeight="1">
      <c r="F64" s="171"/>
      <c r="G64" s="17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row>
    <row r="65" spans="6:38" s="55" customFormat="1" ht="15" customHeight="1">
      <c r="F65" s="171"/>
      <c r="G65" s="17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1"/>
      <c r="AL65" s="311"/>
    </row>
    <row r="66" spans="6:38" s="55" customFormat="1" ht="15" customHeight="1">
      <c r="F66" s="171"/>
      <c r="G66" s="17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row>
    <row r="67" spans="6:38" s="55" customFormat="1" ht="15" customHeight="1">
      <c r="F67" s="171"/>
      <c r="G67" s="17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row>
    <row r="68" spans="6:38" s="55" customFormat="1" ht="15" customHeight="1">
      <c r="F68" s="171"/>
      <c r="G68" s="17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c r="AI68" s="311"/>
      <c r="AJ68" s="311"/>
      <c r="AK68" s="311"/>
      <c r="AL68" s="311"/>
    </row>
    <row r="69" spans="6:38" s="55" customFormat="1" ht="15" customHeight="1">
      <c r="F69" s="171"/>
      <c r="G69" s="17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1"/>
      <c r="AL69" s="311"/>
    </row>
    <row r="70" spans="6:38" s="55" customFormat="1" ht="15" customHeight="1">
      <c r="F70" s="171"/>
      <c r="G70" s="171"/>
      <c r="H70" s="311"/>
      <c r="I70" s="311"/>
      <c r="J70" s="311"/>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c r="AI70" s="311"/>
      <c r="AJ70" s="311"/>
      <c r="AK70" s="311"/>
      <c r="AL70" s="311"/>
    </row>
    <row r="71" spans="6:38" s="55" customFormat="1" ht="15" customHeight="1">
      <c r="F71" s="171"/>
      <c r="G71" s="17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1"/>
      <c r="AL71" s="311"/>
    </row>
    <row r="72" spans="6:38" s="55" customFormat="1" ht="15" customHeight="1">
      <c r="F72" s="171"/>
      <c r="G72" s="171"/>
      <c r="H72" s="311"/>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c r="AI72" s="311"/>
      <c r="AJ72" s="311"/>
      <c r="AK72" s="311"/>
      <c r="AL72" s="311"/>
    </row>
    <row r="73" spans="6:38" s="55" customFormat="1" ht="15" customHeight="1">
      <c r="F73" s="171"/>
      <c r="G73" s="17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row>
    <row r="74" spans="6:38" s="55" customFormat="1" ht="15" customHeight="1">
      <c r="F74" s="171"/>
      <c r="G74" s="17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c r="AI74" s="311"/>
      <c r="AJ74" s="311"/>
      <c r="AK74" s="311"/>
      <c r="AL74" s="311"/>
    </row>
    <row r="75" spans="6:38" s="55" customFormat="1" ht="15" customHeight="1">
      <c r="F75" s="171"/>
      <c r="G75" s="17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c r="AI75" s="311"/>
      <c r="AJ75" s="311"/>
      <c r="AK75" s="311"/>
      <c r="AL75" s="311"/>
    </row>
    <row r="76" spans="6:38" s="55" customFormat="1" ht="15" customHeight="1">
      <c r="F76" s="171"/>
      <c r="G76" s="17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11"/>
      <c r="AL76" s="311"/>
    </row>
    <row r="77" spans="6:38" s="55" customFormat="1" ht="15" customHeight="1">
      <c r="F77" s="171"/>
      <c r="G77" s="17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11"/>
      <c r="AL77" s="311"/>
    </row>
    <row r="78" spans="6:38" s="55" customFormat="1" ht="15" customHeight="1">
      <c r="F78" s="171"/>
      <c r="G78" s="17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row>
    <row r="79" spans="6:38" s="55" customFormat="1" ht="15" customHeight="1">
      <c r="F79" s="171"/>
      <c r="G79" s="17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1"/>
      <c r="AL79" s="311"/>
    </row>
  </sheetData>
  <sheetProtection/>
  <printOptions horizontalCentered="1"/>
  <pageMargins left="0.25" right="0.25" top="0.5" bottom="0.5" header="0.25" footer="0.25"/>
  <pageSetup horizontalDpi="600" verticalDpi="6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AL79"/>
  <sheetViews>
    <sheetView zoomScalePageLayoutView="0" workbookViewId="0" topLeftCell="A1">
      <selection activeCell="D59" sqref="D59"/>
    </sheetView>
  </sheetViews>
  <sheetFormatPr defaultColWidth="15.7109375" defaultRowHeight="15" customHeight="1"/>
  <cols>
    <col min="1" max="1" width="45.7109375" style="55" customWidth="1"/>
    <col min="2" max="2" width="19.00390625" style="240" customWidth="1"/>
    <col min="3" max="3" width="18.421875" style="240" customWidth="1"/>
    <col min="4" max="4" width="18.140625" style="240" customWidth="1"/>
    <col min="5" max="5" width="19.421875" style="79" customWidth="1"/>
    <col min="6" max="6" width="20.7109375" style="79" customWidth="1"/>
    <col min="7" max="7" width="15.7109375" style="79" customWidth="1"/>
    <col min="8" max="16384" width="15.7109375" style="55" customWidth="1"/>
  </cols>
  <sheetData>
    <row r="1" spans="1:7" s="299" customFormat="1" ht="30" customHeight="1">
      <c r="A1" s="294" t="s">
        <v>0</v>
      </c>
      <c r="B1" s="295"/>
      <c r="C1" s="295"/>
      <c r="D1" s="295"/>
      <c r="E1" s="296"/>
      <c r="F1" s="297"/>
      <c r="G1" s="298"/>
    </row>
    <row r="2" spans="1:6" ht="15" customHeight="1">
      <c r="A2" s="90"/>
      <c r="B2" s="300"/>
      <c r="C2" s="300"/>
      <c r="D2" s="300"/>
      <c r="E2" s="300"/>
      <c r="F2" s="301"/>
    </row>
    <row r="3" spans="1:7" s="151" customFormat="1" ht="15" customHeight="1">
      <c r="A3" s="302" t="s">
        <v>197</v>
      </c>
      <c r="B3" s="303"/>
      <c r="C3" s="303"/>
      <c r="D3" s="303"/>
      <c r="E3" s="304"/>
      <c r="F3" s="305"/>
      <c r="G3" s="150"/>
    </row>
    <row r="4" spans="1:7" s="151" customFormat="1" ht="15" customHeight="1">
      <c r="A4" s="302" t="s">
        <v>198</v>
      </c>
      <c r="B4" s="303"/>
      <c r="C4" s="303"/>
      <c r="D4" s="303"/>
      <c r="E4" s="304"/>
      <c r="F4" s="305"/>
      <c r="G4" s="150"/>
    </row>
    <row r="5" spans="1:7" s="151" customFormat="1" ht="15" customHeight="1">
      <c r="A5" s="50" t="s">
        <v>156</v>
      </c>
      <c r="B5" s="303"/>
      <c r="C5" s="303"/>
      <c r="D5" s="303"/>
      <c r="E5" s="304"/>
      <c r="F5" s="305"/>
      <c r="G5" s="150"/>
    </row>
    <row r="6" spans="1:6" ht="15" customHeight="1">
      <c r="A6" s="306"/>
      <c r="E6" s="301"/>
      <c r="F6" s="301"/>
    </row>
    <row r="7" spans="1:6" ht="30" customHeight="1">
      <c r="A7" s="191"/>
      <c r="B7" s="215" t="s">
        <v>69</v>
      </c>
      <c r="C7" s="215" t="s">
        <v>70</v>
      </c>
      <c r="D7" s="215" t="s">
        <v>71</v>
      </c>
      <c r="E7" s="215" t="s">
        <v>72</v>
      </c>
      <c r="F7" s="307" t="s">
        <v>73</v>
      </c>
    </row>
    <row r="8" spans="1:6" ht="30" customHeight="1">
      <c r="A8" s="308" t="s">
        <v>199</v>
      </c>
      <c r="B8" s="309"/>
      <c r="C8" s="309"/>
      <c r="D8" s="309"/>
      <c r="F8" s="310"/>
    </row>
    <row r="9" spans="1:37" ht="15" customHeight="1">
      <c r="A9" s="55" t="s">
        <v>200</v>
      </c>
      <c r="B9" s="193">
        <f>'[1]Loss Expenses Paid YTD-16'!K21</f>
        <v>152142</v>
      </c>
      <c r="C9" s="193">
        <f>'[1]Loss Expenses Paid YTD-16'!K15</f>
        <v>482684</v>
      </c>
      <c r="D9" s="193">
        <f>'[1]Loss Expenses Paid YTD-16'!K9</f>
        <v>159394</v>
      </c>
      <c r="E9" s="195">
        <v>0</v>
      </c>
      <c r="F9" s="193">
        <f>SUM(B9:E9)</f>
        <v>794220</v>
      </c>
      <c r="G9" s="17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row>
    <row r="10" spans="1:37" s="74" customFormat="1" ht="15" customHeight="1">
      <c r="A10" s="74" t="s">
        <v>201</v>
      </c>
      <c r="B10" s="312">
        <f>'[1]Loss Expenses Paid YTD-16'!K22</f>
        <v>69186</v>
      </c>
      <c r="C10" s="312">
        <f>'[1]Loss Expenses Paid YTD-16'!K16</f>
        <v>131291</v>
      </c>
      <c r="D10" s="312">
        <f>'[1]Loss Expenses Paid YTD-16'!K10</f>
        <v>93731</v>
      </c>
      <c r="E10" s="195">
        <v>0</v>
      </c>
      <c r="F10" s="234">
        <f>SUM(B10:E10)</f>
        <v>294208</v>
      </c>
      <c r="G10" s="171"/>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row>
    <row r="11" spans="1:37" s="74" customFormat="1" ht="15" customHeight="1">
      <c r="A11" s="74" t="s">
        <v>202</v>
      </c>
      <c r="B11" s="230">
        <f>'[1]Loss Expenses Paid YTD-16'!K23</f>
        <v>0</v>
      </c>
      <c r="C11" s="312">
        <f>'[1]Loss Expenses Paid YTD-16'!K17</f>
        <v>1078</v>
      </c>
      <c r="D11" s="195">
        <f>'[1]Loss Expenses Paid YTD-16'!K11</f>
        <v>0</v>
      </c>
      <c r="E11" s="195">
        <v>0</v>
      </c>
      <c r="F11" s="234">
        <f>SUM(B11:E11)</f>
        <v>1078</v>
      </c>
      <c r="G11" s="171"/>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row>
    <row r="12" spans="1:37" s="74" customFormat="1" ht="15" customHeight="1" thickBot="1">
      <c r="A12" s="314" t="s">
        <v>163</v>
      </c>
      <c r="B12" s="226">
        <f>SUM(B9:B11)</f>
        <v>221328</v>
      </c>
      <c r="C12" s="226">
        <f>SUM(C9:C11)</f>
        <v>615053</v>
      </c>
      <c r="D12" s="226">
        <f>SUM(D9:D11)</f>
        <v>253125</v>
      </c>
      <c r="E12" s="241">
        <f>SUM(E9:E11)</f>
        <v>0</v>
      </c>
      <c r="F12" s="229">
        <f>SUM(F9:F11)</f>
        <v>1089506</v>
      </c>
      <c r="G12" s="178"/>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row>
    <row r="13" spans="2:37" s="74" customFormat="1" ht="15" customHeight="1" thickTop="1">
      <c r="B13" s="232"/>
      <c r="C13" s="232"/>
      <c r="D13" s="232"/>
      <c r="E13" s="171"/>
      <c r="F13" s="79"/>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row>
    <row r="14" spans="1:37" s="74" customFormat="1" ht="30" customHeight="1">
      <c r="A14" s="316" t="s">
        <v>203</v>
      </c>
      <c r="B14" s="232"/>
      <c r="C14" s="232"/>
      <c r="D14" s="232"/>
      <c r="E14" s="171"/>
      <c r="F14" s="178"/>
      <c r="G14" s="171"/>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row>
    <row r="15" spans="1:37" s="74" customFormat="1" ht="15" customHeight="1">
      <c r="A15" s="55" t="s">
        <v>200</v>
      </c>
      <c r="B15" s="234">
        <f>'[1]Unpaid Loss Expense Reserves-14'!B22</f>
        <v>279475</v>
      </c>
      <c r="C15" s="234">
        <f>'[1]Unpaid Loss Expense Reserves-14'!C22</f>
        <v>71458</v>
      </c>
      <c r="D15" s="234">
        <f>'[1]Unpaid Loss Expense Reserves-14'!D22</f>
        <v>28796</v>
      </c>
      <c r="E15" s="230">
        <v>0</v>
      </c>
      <c r="F15" s="234">
        <f>SUM(B15:E15)</f>
        <v>379729</v>
      </c>
      <c r="G15" s="171"/>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row>
    <row r="16" spans="1:37" s="74" customFormat="1" ht="15" customHeight="1">
      <c r="A16" s="74" t="s">
        <v>201</v>
      </c>
      <c r="B16" s="234">
        <f>'[1]Unpaid Loss Expense Reserves-14'!B23</f>
        <v>20524</v>
      </c>
      <c r="C16" s="234">
        <f>'[1]Unpaid Loss Expense Reserves-14'!C23</f>
        <v>6028</v>
      </c>
      <c r="D16" s="230">
        <f>'[1]Unpaid Loss Expense Reserves-14'!D23</f>
        <v>0</v>
      </c>
      <c r="E16" s="230">
        <v>0</v>
      </c>
      <c r="F16" s="234">
        <f>SUM(B16:E16)</f>
        <v>26552</v>
      </c>
      <c r="G16" s="171"/>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row>
    <row r="17" spans="1:37" s="74" customFormat="1" ht="15" customHeight="1">
      <c r="A17" s="74" t="s">
        <v>202</v>
      </c>
      <c r="B17" s="230">
        <f>'[1]Unpaid Loss Expense Reserves-14'!B24</f>
        <v>0</v>
      </c>
      <c r="C17" s="230">
        <f>'[1]Unpaid Loss Expense Reserves-14'!C24</f>
        <v>0</v>
      </c>
      <c r="D17" s="230">
        <f>'[1]Unpaid Loss Expense Reserves-14'!D24</f>
        <v>0</v>
      </c>
      <c r="E17" s="230">
        <v>0</v>
      </c>
      <c r="F17" s="230">
        <f>SUM(B17:E17)</f>
        <v>0</v>
      </c>
      <c r="G17" s="171"/>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row>
    <row r="18" spans="1:37" s="74" customFormat="1" ht="15" customHeight="1" thickBot="1">
      <c r="A18" s="314" t="s">
        <v>163</v>
      </c>
      <c r="B18" s="226">
        <f>SUM(B15:B17)</f>
        <v>299999</v>
      </c>
      <c r="C18" s="226">
        <f>SUM(C15:C17)</f>
        <v>77486</v>
      </c>
      <c r="D18" s="226">
        <f>SUM(D15:D17)</f>
        <v>28796</v>
      </c>
      <c r="E18" s="315">
        <f>SUM(E15:E17)</f>
        <v>0</v>
      </c>
      <c r="F18" s="229">
        <f>SUM(F15:F17)</f>
        <v>406281</v>
      </c>
      <c r="G18" s="178"/>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row>
    <row r="19" spans="2:37" s="74" customFormat="1" ht="15" customHeight="1" thickTop="1">
      <c r="B19" s="232"/>
      <c r="C19" s="232"/>
      <c r="D19" s="232"/>
      <c r="E19" s="171"/>
      <c r="F19" s="79"/>
      <c r="G19" s="317"/>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row>
    <row r="20" spans="1:37" s="74" customFormat="1" ht="30" customHeight="1">
      <c r="A20" s="316" t="s">
        <v>207</v>
      </c>
      <c r="B20" s="318"/>
      <c r="C20" s="318"/>
      <c r="D20" s="318"/>
      <c r="E20" s="319"/>
      <c r="F20" s="178"/>
      <c r="G20" s="171"/>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row>
    <row r="21" spans="1:37" s="74" customFormat="1" ht="15" customHeight="1">
      <c r="A21" s="55" t="s">
        <v>200</v>
      </c>
      <c r="B21" s="195">
        <v>0</v>
      </c>
      <c r="C21" s="234">
        <v>261249.09999999998</v>
      </c>
      <c r="D21" s="234">
        <v>39457.83</v>
      </c>
      <c r="E21" s="234">
        <v>8364.16</v>
      </c>
      <c r="F21" s="234">
        <f>SUM(B21:E21)</f>
        <v>309071.08999999997</v>
      </c>
      <c r="G21" s="171"/>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row>
    <row r="22" spans="1:37" s="74" customFormat="1" ht="15" customHeight="1">
      <c r="A22" s="74" t="s">
        <v>205</v>
      </c>
      <c r="B22" s="195">
        <v>0</v>
      </c>
      <c r="C22" s="234">
        <v>34797.14</v>
      </c>
      <c r="D22" s="234">
        <v>32294.21</v>
      </c>
      <c r="E22" s="234">
        <v>15283.6</v>
      </c>
      <c r="F22" s="234">
        <f>SUM(B22:E22)</f>
        <v>82374.95000000001</v>
      </c>
      <c r="G22" s="171"/>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row>
    <row r="23" spans="1:37" s="74" customFormat="1" ht="15" customHeight="1">
      <c r="A23" s="74" t="s">
        <v>202</v>
      </c>
      <c r="B23" s="195">
        <v>0</v>
      </c>
      <c r="C23" s="195">
        <v>0</v>
      </c>
      <c r="D23" s="195">
        <v>0</v>
      </c>
      <c r="E23" s="323">
        <v>0</v>
      </c>
      <c r="F23" s="230">
        <f>SUM(B23:E23)</f>
        <v>0</v>
      </c>
      <c r="G23" s="171"/>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row>
    <row r="24" spans="1:37" s="74" customFormat="1" ht="15" customHeight="1" thickBot="1">
      <c r="A24" s="314" t="s">
        <v>163</v>
      </c>
      <c r="B24" s="241">
        <f>SUM(B21:B23)</f>
        <v>0</v>
      </c>
      <c r="C24" s="226">
        <f>SUM(C21:C23)</f>
        <v>296046.24</v>
      </c>
      <c r="D24" s="226">
        <f>SUM(D21:D23)</f>
        <v>71752.04000000001</v>
      </c>
      <c r="E24" s="324">
        <f>SUM(E21:E23)</f>
        <v>23647.760000000002</v>
      </c>
      <c r="F24" s="229">
        <f>SUM(F21:F23)</f>
        <v>391446.04</v>
      </c>
      <c r="G24" s="178"/>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row>
    <row r="25" spans="2:37" s="320" customFormat="1" ht="15" customHeight="1" thickTop="1">
      <c r="B25" s="318"/>
      <c r="C25" s="318"/>
      <c r="D25" s="318"/>
      <c r="E25" s="318"/>
      <c r="F25" s="318"/>
      <c r="G25" s="321"/>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row>
    <row r="26" spans="1:37" s="74" customFormat="1" ht="30" customHeight="1">
      <c r="A26" s="316" t="s">
        <v>206</v>
      </c>
      <c r="B26" s="232"/>
      <c r="C26" s="232"/>
      <c r="D26" s="232"/>
      <c r="E26" s="232"/>
      <c r="F26" s="232"/>
      <c r="G26" s="171"/>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row>
    <row r="27" spans="1:37" s="74" customFormat="1" ht="15" customHeight="1">
      <c r="A27" s="74" t="s">
        <v>200</v>
      </c>
      <c r="B27" s="234">
        <f aca="true" t="shared" si="0" ref="B27:E29">B9+B15-B21</f>
        <v>431617</v>
      </c>
      <c r="C27" s="234">
        <f t="shared" si="0"/>
        <v>292892.9</v>
      </c>
      <c r="D27" s="234">
        <f t="shared" si="0"/>
        <v>148732.16999999998</v>
      </c>
      <c r="E27" s="222">
        <f t="shared" si="0"/>
        <v>-8364.16</v>
      </c>
      <c r="F27" s="234">
        <f>SUM(B27:E27)</f>
        <v>864877.91</v>
      </c>
      <c r="G27" s="171"/>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row>
    <row r="28" spans="1:37" s="74" customFormat="1" ht="15" customHeight="1">
      <c r="A28" s="74" t="s">
        <v>201</v>
      </c>
      <c r="B28" s="234">
        <f t="shared" si="0"/>
        <v>89710</v>
      </c>
      <c r="C28" s="234">
        <f t="shared" si="0"/>
        <v>102521.86</v>
      </c>
      <c r="D28" s="234">
        <f t="shared" si="0"/>
        <v>61436.79</v>
      </c>
      <c r="E28" s="222">
        <f t="shared" si="0"/>
        <v>-15283.6</v>
      </c>
      <c r="F28" s="234">
        <f>SUM(B28:E28)</f>
        <v>238385.05</v>
      </c>
      <c r="G28" s="171"/>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row>
    <row r="29" spans="1:37" s="74" customFormat="1" ht="15" customHeight="1">
      <c r="A29" s="74" t="s">
        <v>202</v>
      </c>
      <c r="B29" s="195">
        <f t="shared" si="0"/>
        <v>0</v>
      </c>
      <c r="C29" s="234">
        <f t="shared" si="0"/>
        <v>1078</v>
      </c>
      <c r="D29" s="195">
        <f t="shared" si="0"/>
        <v>0</v>
      </c>
      <c r="E29" s="195">
        <f t="shared" si="0"/>
        <v>0</v>
      </c>
      <c r="F29" s="234">
        <f>SUM(B29:E29)</f>
        <v>1078</v>
      </c>
      <c r="G29" s="171"/>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row>
    <row r="30" spans="1:37" ht="15" customHeight="1" thickBot="1">
      <c r="A30" s="47" t="s">
        <v>163</v>
      </c>
      <c r="B30" s="284">
        <f>SUM(B27:B29)</f>
        <v>521327</v>
      </c>
      <c r="C30" s="284">
        <f>SUM(C27:C29)</f>
        <v>396492.76</v>
      </c>
      <c r="D30" s="284">
        <f>SUM(D27:D29)</f>
        <v>210168.96</v>
      </c>
      <c r="E30" s="284">
        <f>SUM(E27:E29)</f>
        <v>-23647.760000000002</v>
      </c>
      <c r="F30" s="284">
        <f>SUM(F27:F29)</f>
        <v>1104340.96</v>
      </c>
      <c r="G30" s="17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row>
    <row r="31" spans="2:38" ht="15" customHeight="1" thickTop="1">
      <c r="B31" s="231"/>
      <c r="C31" s="231"/>
      <c r="D31" s="231"/>
      <c r="F31" s="17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row>
    <row r="32" spans="2:38" s="79" customFormat="1" ht="15" customHeight="1">
      <c r="B32" s="231"/>
      <c r="C32" s="231"/>
      <c r="D32" s="23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row>
    <row r="33" spans="2:38" ht="15" customHeight="1">
      <c r="B33" s="231"/>
      <c r="C33" s="231"/>
      <c r="D33" s="231"/>
      <c r="F33" s="171"/>
      <c r="G33" s="17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row>
    <row r="34" spans="2:38" ht="15" customHeight="1">
      <c r="B34" s="231"/>
      <c r="C34" s="231"/>
      <c r="D34" s="231"/>
      <c r="F34" s="171"/>
      <c r="G34" s="17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row>
    <row r="35" spans="2:38" ht="15" customHeight="1">
      <c r="B35" s="231"/>
      <c r="C35" s="231"/>
      <c r="D35" s="231"/>
      <c r="F35" s="171"/>
      <c r="G35" s="17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row>
    <row r="36" spans="2:38" ht="15" customHeight="1">
      <c r="B36" s="231"/>
      <c r="C36" s="231"/>
      <c r="D36" s="231"/>
      <c r="F36" s="171"/>
      <c r="G36" s="17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row>
    <row r="37" spans="2:38" ht="15" customHeight="1">
      <c r="B37" s="231"/>
      <c r="C37" s="231"/>
      <c r="D37" s="231"/>
      <c r="F37" s="171"/>
      <c r="G37" s="17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row>
    <row r="38" spans="6:38" ht="15" customHeight="1">
      <c r="F38" s="171"/>
      <c r="G38" s="17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row>
    <row r="39" spans="6:38" ht="15" customHeight="1">
      <c r="F39" s="171"/>
      <c r="G39" s="17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row>
    <row r="40" spans="6:38" ht="15" customHeight="1">
      <c r="F40" s="171"/>
      <c r="G40" s="17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row>
    <row r="41" spans="6:38" ht="15" customHeight="1">
      <c r="F41" s="171"/>
      <c r="G41" s="17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row>
    <row r="42" spans="6:38" ht="15" customHeight="1">
      <c r="F42" s="171"/>
      <c r="G42" s="17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row>
    <row r="43" spans="6:38" ht="15" customHeight="1">
      <c r="F43" s="171"/>
      <c r="G43" s="17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row>
    <row r="44" spans="6:38" ht="15" customHeight="1">
      <c r="F44" s="171"/>
      <c r="G44" s="17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row>
    <row r="45" spans="6:38" ht="15" customHeight="1">
      <c r="F45" s="171"/>
      <c r="G45" s="17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row>
    <row r="46" spans="6:38" ht="15" customHeight="1">
      <c r="F46" s="171"/>
      <c r="G46" s="17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row>
    <row r="47" spans="6:38" ht="15" customHeight="1">
      <c r="F47" s="171"/>
      <c r="G47" s="17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row>
    <row r="48" spans="6:38" ht="15" customHeight="1">
      <c r="F48" s="171"/>
      <c r="G48" s="17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row>
    <row r="49" spans="6:38" s="55" customFormat="1" ht="15" customHeight="1">
      <c r="F49" s="171"/>
      <c r="G49" s="17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row>
    <row r="50" spans="6:38" s="55" customFormat="1" ht="15" customHeight="1">
      <c r="F50" s="171"/>
      <c r="G50" s="17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row>
    <row r="51" spans="6:38" s="55" customFormat="1" ht="15" customHeight="1">
      <c r="F51" s="171"/>
      <c r="G51" s="17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row>
    <row r="52" spans="6:38" s="55" customFormat="1" ht="15" customHeight="1">
      <c r="F52" s="171"/>
      <c r="G52" s="17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row>
    <row r="53" spans="6:38" s="55" customFormat="1" ht="15" customHeight="1">
      <c r="F53" s="171"/>
      <c r="G53" s="17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row>
    <row r="54" spans="6:38" s="55" customFormat="1" ht="15" customHeight="1">
      <c r="F54" s="171"/>
      <c r="G54" s="17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row>
    <row r="55" spans="6:38" s="55" customFormat="1" ht="15" customHeight="1">
      <c r="F55" s="171"/>
      <c r="G55" s="17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row>
    <row r="56" spans="6:38" s="55" customFormat="1" ht="15" customHeight="1">
      <c r="F56" s="171"/>
      <c r="G56" s="17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row>
    <row r="57" spans="6:38" s="55" customFormat="1" ht="15" customHeight="1">
      <c r="F57" s="171"/>
      <c r="G57" s="17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row>
    <row r="58" spans="6:38" s="55" customFormat="1" ht="15" customHeight="1">
      <c r="F58" s="171"/>
      <c r="G58" s="17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row>
    <row r="59" spans="6:38" s="55" customFormat="1" ht="15" customHeight="1">
      <c r="F59" s="171"/>
      <c r="G59" s="17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row>
    <row r="60" spans="6:38" s="55" customFormat="1" ht="15" customHeight="1">
      <c r="F60" s="171"/>
      <c r="G60" s="17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row>
    <row r="61" spans="6:38" s="55" customFormat="1" ht="15" customHeight="1">
      <c r="F61" s="171"/>
      <c r="G61" s="17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row>
    <row r="62" spans="6:38" s="55" customFormat="1" ht="15" customHeight="1">
      <c r="F62" s="171"/>
      <c r="G62" s="17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row>
    <row r="63" spans="6:38" s="55" customFormat="1" ht="15" customHeight="1">
      <c r="F63" s="171"/>
      <c r="G63" s="17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row>
    <row r="64" spans="6:38" s="55" customFormat="1" ht="15" customHeight="1">
      <c r="F64" s="171"/>
      <c r="G64" s="17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row>
    <row r="65" spans="6:38" s="55" customFormat="1" ht="15" customHeight="1">
      <c r="F65" s="171"/>
      <c r="G65" s="17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1"/>
      <c r="AL65" s="311"/>
    </row>
    <row r="66" spans="6:38" s="55" customFormat="1" ht="15" customHeight="1">
      <c r="F66" s="171"/>
      <c r="G66" s="17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row>
    <row r="67" spans="6:38" s="55" customFormat="1" ht="15" customHeight="1">
      <c r="F67" s="171"/>
      <c r="G67" s="17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row>
    <row r="68" spans="6:38" s="55" customFormat="1" ht="15" customHeight="1">
      <c r="F68" s="171"/>
      <c r="G68" s="17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c r="AI68" s="311"/>
      <c r="AJ68" s="311"/>
      <c r="AK68" s="311"/>
      <c r="AL68" s="311"/>
    </row>
    <row r="69" spans="6:38" s="55" customFormat="1" ht="15" customHeight="1">
      <c r="F69" s="171"/>
      <c r="G69" s="17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1"/>
      <c r="AL69" s="311"/>
    </row>
    <row r="70" spans="6:38" s="55" customFormat="1" ht="15" customHeight="1">
      <c r="F70" s="171"/>
      <c r="G70" s="171"/>
      <c r="H70" s="311"/>
      <c r="I70" s="311"/>
      <c r="J70" s="311"/>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c r="AI70" s="311"/>
      <c r="AJ70" s="311"/>
      <c r="AK70" s="311"/>
      <c r="AL70" s="311"/>
    </row>
    <row r="71" spans="6:38" s="55" customFormat="1" ht="15" customHeight="1">
      <c r="F71" s="171"/>
      <c r="G71" s="17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1"/>
      <c r="AL71" s="311"/>
    </row>
    <row r="72" spans="6:38" s="55" customFormat="1" ht="15" customHeight="1">
      <c r="F72" s="171"/>
      <c r="G72" s="171"/>
      <c r="H72" s="311"/>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c r="AI72" s="311"/>
      <c r="AJ72" s="311"/>
      <c r="AK72" s="311"/>
      <c r="AL72" s="311"/>
    </row>
    <row r="73" spans="6:38" s="55" customFormat="1" ht="15" customHeight="1">
      <c r="F73" s="171"/>
      <c r="G73" s="17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row>
    <row r="74" spans="6:38" s="55" customFormat="1" ht="15" customHeight="1">
      <c r="F74" s="171"/>
      <c r="G74" s="17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c r="AI74" s="311"/>
      <c r="AJ74" s="311"/>
      <c r="AK74" s="311"/>
      <c r="AL74" s="311"/>
    </row>
    <row r="75" spans="6:38" s="55" customFormat="1" ht="15" customHeight="1">
      <c r="F75" s="171"/>
      <c r="G75" s="17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c r="AI75" s="311"/>
      <c r="AJ75" s="311"/>
      <c r="AK75" s="311"/>
      <c r="AL75" s="311"/>
    </row>
    <row r="76" spans="6:38" s="55" customFormat="1" ht="15" customHeight="1">
      <c r="F76" s="171"/>
      <c r="G76" s="17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11"/>
      <c r="AL76" s="311"/>
    </row>
    <row r="77" spans="6:38" s="55" customFormat="1" ht="15" customHeight="1">
      <c r="F77" s="171"/>
      <c r="G77" s="17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11"/>
      <c r="AL77" s="311"/>
    </row>
    <row r="78" spans="6:38" s="55" customFormat="1" ht="15" customHeight="1">
      <c r="F78" s="171"/>
      <c r="G78" s="17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row>
    <row r="79" spans="6:38" s="55" customFormat="1" ht="15" customHeight="1">
      <c r="F79" s="171"/>
      <c r="G79" s="17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1"/>
      <c r="AL79" s="311"/>
    </row>
  </sheetData>
  <sheetProtection/>
  <printOptions horizontalCentered="1"/>
  <pageMargins left="0.25" right="0.25" top="0.5" bottom="0.5" header="0.25" footer="0.25"/>
  <pageSetup horizontalDpi="600" verticalDpi="6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G47"/>
  <sheetViews>
    <sheetView zoomScalePageLayoutView="0" workbookViewId="0" topLeftCell="A5">
      <selection activeCell="D59" sqref="D59"/>
    </sheetView>
  </sheetViews>
  <sheetFormatPr defaultColWidth="15.7109375" defaultRowHeight="15" customHeight="1"/>
  <cols>
    <col min="1" max="1" width="64.140625" style="55" bestFit="1" customWidth="1"/>
    <col min="2" max="2" width="17.28125" style="79" bestFit="1" customWidth="1"/>
    <col min="3" max="3" width="14.57421875" style="79" bestFit="1" customWidth="1"/>
    <col min="4" max="4" width="12.28125" style="55" bestFit="1" customWidth="1"/>
    <col min="5" max="5" width="15.00390625" style="55" bestFit="1" customWidth="1"/>
    <col min="6" max="16384" width="15.7109375" style="55" customWidth="1"/>
  </cols>
  <sheetData>
    <row r="1" spans="1:5" s="47" customFormat="1" ht="30" customHeight="1">
      <c r="A1" s="325" t="s">
        <v>0</v>
      </c>
      <c r="B1" s="325"/>
      <c r="C1" s="325"/>
      <c r="D1" s="325"/>
      <c r="E1" s="325"/>
    </row>
    <row r="2" spans="1:3" s="48" customFormat="1" ht="15" customHeight="1">
      <c r="A2" s="326"/>
      <c r="B2" s="326"/>
      <c r="C2" s="326"/>
    </row>
    <row r="3" spans="1:5" s="49" customFormat="1" ht="15" customHeight="1">
      <c r="A3" s="329" t="s">
        <v>37</v>
      </c>
      <c r="B3" s="329"/>
      <c r="C3" s="329"/>
      <c r="D3" s="329"/>
      <c r="E3" s="329"/>
    </row>
    <row r="4" spans="1:5" s="49" customFormat="1" ht="15" customHeight="1">
      <c r="A4" s="330" t="s">
        <v>38</v>
      </c>
      <c r="B4" s="329"/>
      <c r="C4" s="329"/>
      <c r="D4" s="329"/>
      <c r="E4" s="329"/>
    </row>
    <row r="5" spans="1:3" s="49" customFormat="1" ht="15" customHeight="1">
      <c r="A5" s="50"/>
      <c r="B5" s="51"/>
      <c r="C5" s="51"/>
    </row>
    <row r="6" spans="1:5" ht="15" customHeight="1">
      <c r="A6" s="52"/>
      <c r="B6" s="53" t="s">
        <v>39</v>
      </c>
      <c r="C6" s="54"/>
      <c r="D6" s="53" t="s">
        <v>40</v>
      </c>
      <c r="E6" s="54"/>
    </row>
    <row r="7" spans="1:5" ht="15" customHeight="1">
      <c r="A7" s="52"/>
      <c r="B7" s="56"/>
      <c r="C7" s="57"/>
      <c r="D7" s="56"/>
      <c r="E7" s="57"/>
    </row>
    <row r="8" spans="1:5" ht="15" customHeight="1">
      <c r="A8" s="58" t="s">
        <v>41</v>
      </c>
      <c r="B8" s="56"/>
      <c r="C8" s="59"/>
      <c r="D8" s="56"/>
      <c r="E8" s="59"/>
    </row>
    <row r="9" spans="1:5" ht="15" customHeight="1">
      <c r="A9" s="58"/>
      <c r="B9" s="56"/>
      <c r="C9" s="59"/>
      <c r="D9" s="56"/>
      <c r="E9" s="59"/>
    </row>
    <row r="10" spans="1:5" ht="15" customHeight="1">
      <c r="A10" s="52" t="s">
        <v>42</v>
      </c>
      <c r="B10" s="60"/>
      <c r="C10" s="61">
        <f>'Earned Incurred QTD-5'!D16</f>
        <v>2596110</v>
      </c>
      <c r="D10" s="60"/>
      <c r="E10" s="61">
        <f>'Earned Incurred YTD-6'!D16</f>
        <v>10495250.58</v>
      </c>
    </row>
    <row r="11" spans="1:5" ht="15" customHeight="1">
      <c r="A11" s="58"/>
      <c r="B11" s="60"/>
      <c r="C11" s="62"/>
      <c r="D11" s="60"/>
      <c r="E11" s="62"/>
    </row>
    <row r="12" spans="1:5" ht="15" customHeight="1">
      <c r="A12" s="58" t="s">
        <v>43</v>
      </c>
      <c r="B12" s="60"/>
      <c r="C12" s="62"/>
      <c r="D12" s="60"/>
      <c r="E12" s="62"/>
    </row>
    <row r="13" spans="1:5" ht="15" customHeight="1">
      <c r="A13" s="52" t="s">
        <v>44</v>
      </c>
      <c r="B13" s="63">
        <f>'Earned Incurred QTD-5'!D23</f>
        <v>972479</v>
      </c>
      <c r="C13" s="64"/>
      <c r="D13" s="63">
        <f>'Earned Incurred YTD-6'!D23</f>
        <v>3919861.71</v>
      </c>
      <c r="E13" s="64"/>
    </row>
    <row r="14" spans="1:5" ht="15" customHeight="1">
      <c r="A14" s="52" t="s">
        <v>45</v>
      </c>
      <c r="B14" s="63">
        <f>'Earned Incurred QTD-5'!D30</f>
        <v>257176</v>
      </c>
      <c r="C14" s="64"/>
      <c r="D14" s="63">
        <f>'Earned Incurred YTD-6'!D30</f>
        <v>1104340.96</v>
      </c>
      <c r="E14" s="64"/>
    </row>
    <row r="15" spans="1:5" ht="15" customHeight="1">
      <c r="A15" s="52" t="s">
        <v>46</v>
      </c>
      <c r="B15" s="63">
        <f>'Earned Incurred QTD-5'!C37</f>
        <v>207696</v>
      </c>
      <c r="C15" s="64"/>
      <c r="D15" s="63">
        <f>'Earned Incurred YTD-6'!C37</f>
        <v>867018</v>
      </c>
      <c r="E15" s="64"/>
    </row>
    <row r="16" spans="1:5" ht="15" customHeight="1">
      <c r="A16" s="52" t="s">
        <v>47</v>
      </c>
      <c r="B16" s="63">
        <f>'Earned Incurred QTD-5'!C39+'Earned Incurred QTD-5'!C38+'Earned Incurred QTD-5'!C43</f>
        <v>745858</v>
      </c>
      <c r="C16" s="64"/>
      <c r="D16" s="63">
        <f>'Earned Incurred YTD-6'!C38+'Earned Incurred YTD-6'!C39+'Earned Incurred YTD-6'!C43</f>
        <v>3767718</v>
      </c>
      <c r="E16" s="64"/>
    </row>
    <row r="17" spans="1:5" ht="15" customHeight="1">
      <c r="A17" s="52" t="s">
        <v>48</v>
      </c>
      <c r="B17" s="65">
        <f>'Earned Incurred QTD-5'!D36</f>
        <v>13762</v>
      </c>
      <c r="C17" s="64"/>
      <c r="D17" s="65">
        <f>'Earned Incurred YTD-6'!D36</f>
        <v>48800.509999999995</v>
      </c>
      <c r="E17" s="64"/>
    </row>
    <row r="18" spans="1:5" ht="15" customHeight="1">
      <c r="A18" s="52" t="s">
        <v>49</v>
      </c>
      <c r="B18" s="66"/>
      <c r="C18" s="67">
        <f>SUM(B13:B17)</f>
        <v>2196971</v>
      </c>
      <c r="D18" s="66"/>
      <c r="E18" s="67">
        <f>SUM(D13:D17)+1</f>
        <v>9707740.18</v>
      </c>
    </row>
    <row r="19" spans="1:5" ht="15" customHeight="1">
      <c r="A19" s="52"/>
      <c r="B19" s="66"/>
      <c r="C19" s="68"/>
      <c r="D19" s="66"/>
      <c r="E19" s="68"/>
    </row>
    <row r="20" spans="1:5" ht="15" customHeight="1">
      <c r="A20" s="52" t="s">
        <v>50</v>
      </c>
      <c r="B20" s="66"/>
      <c r="C20" s="69">
        <f>C10-C18</f>
        <v>399139</v>
      </c>
      <c r="D20" s="66"/>
      <c r="E20" s="69">
        <f>E10-E18+1</f>
        <v>787511.4000000004</v>
      </c>
    </row>
    <row r="21" spans="1:5" ht="15" customHeight="1">
      <c r="A21" s="58"/>
      <c r="B21" s="66"/>
      <c r="C21" s="70"/>
      <c r="D21" s="66"/>
      <c r="E21" s="70"/>
    </row>
    <row r="22" spans="1:5" ht="15" customHeight="1">
      <c r="A22" s="58" t="s">
        <v>51</v>
      </c>
      <c r="B22" s="66"/>
      <c r="C22" s="70"/>
      <c r="D22" s="66"/>
      <c r="E22" s="70"/>
    </row>
    <row r="23" spans="1:5" ht="15" customHeight="1">
      <c r="A23" s="52" t="s">
        <v>52</v>
      </c>
      <c r="B23" s="63">
        <f>'Earned Incurred QTD-5'!D52</f>
        <v>47511</v>
      </c>
      <c r="C23" s="68"/>
      <c r="D23" s="63">
        <f>'Earned Incurred YTD-6'!D52</f>
        <v>103767</v>
      </c>
      <c r="E23" s="68"/>
    </row>
    <row r="24" spans="1:5" ht="15" customHeight="1">
      <c r="A24" s="52" t="s">
        <v>53</v>
      </c>
      <c r="B24" s="65">
        <f>'Earned Incurred QTD-5'!D53</f>
        <v>4725</v>
      </c>
      <c r="C24" s="68"/>
      <c r="D24" s="71">
        <f>'Earned Incurred YTD-6'!D53</f>
        <v>4255</v>
      </c>
      <c r="E24" s="68"/>
    </row>
    <row r="25" spans="1:5" ht="15" customHeight="1">
      <c r="A25" s="52" t="s">
        <v>54</v>
      </c>
      <c r="B25" s="63"/>
      <c r="C25" s="67">
        <f>SUM(B23:B24)</f>
        <v>52236</v>
      </c>
      <c r="D25" s="63"/>
      <c r="E25" s="67">
        <f>SUM(D23:D24)</f>
        <v>108022</v>
      </c>
    </row>
    <row r="26" spans="1:5" ht="15" customHeight="1">
      <c r="A26" s="52"/>
      <c r="B26" s="66"/>
      <c r="C26" s="70"/>
      <c r="D26" s="66"/>
      <c r="E26" s="70"/>
    </row>
    <row r="27" spans="1:5" ht="15" customHeight="1">
      <c r="A27" s="58" t="s">
        <v>55</v>
      </c>
      <c r="B27" s="66"/>
      <c r="C27" s="70"/>
      <c r="D27" s="66"/>
      <c r="E27" s="70"/>
    </row>
    <row r="28" spans="1:5" ht="15" customHeight="1">
      <c r="A28" s="52" t="s">
        <v>56</v>
      </c>
      <c r="B28" s="72">
        <f>'[1]TB - Rounded'!$G$270</f>
        <v>0</v>
      </c>
      <c r="C28" s="68"/>
      <c r="D28" s="73">
        <f>-'[1]TB - Rounded'!$I$270</f>
        <v>29</v>
      </c>
      <c r="E28" s="68"/>
    </row>
    <row r="29" spans="1:5" ht="15" customHeight="1">
      <c r="A29" s="52" t="s">
        <v>57</v>
      </c>
      <c r="B29" s="65">
        <f>-'[1]TB - Rounded'!$G$271</f>
        <v>4848</v>
      </c>
      <c r="C29" s="68"/>
      <c r="D29" s="71">
        <f>-'[1]TB - Rounded'!$I$271</f>
        <v>19403</v>
      </c>
      <c r="E29" s="68"/>
    </row>
    <row r="30" spans="1:6" ht="15" customHeight="1">
      <c r="A30" s="52" t="s">
        <v>58</v>
      </c>
      <c r="B30" s="63"/>
      <c r="C30" s="67">
        <f>SUM(B28:B29)</f>
        <v>4848</v>
      </c>
      <c r="D30" s="63"/>
      <c r="E30" s="67">
        <f>SUM(D28:D29)</f>
        <v>19432</v>
      </c>
      <c r="F30" s="74"/>
    </row>
    <row r="31" spans="1:5" ht="15" customHeight="1">
      <c r="A31" s="52"/>
      <c r="B31" s="66"/>
      <c r="C31" s="70"/>
      <c r="D31" s="66"/>
      <c r="E31" s="70"/>
    </row>
    <row r="32" spans="1:5" ht="15.75" thickBot="1">
      <c r="A32" s="52" t="s">
        <v>59</v>
      </c>
      <c r="B32" s="66"/>
      <c r="C32" s="75">
        <f>C20+C25+C30</f>
        <v>456223</v>
      </c>
      <c r="D32" s="66"/>
      <c r="E32" s="75">
        <f>E20+E25+E30</f>
        <v>914965.4000000004</v>
      </c>
    </row>
    <row r="33" spans="1:5" ht="15" customHeight="1">
      <c r="A33" s="58"/>
      <c r="B33" s="66"/>
      <c r="C33" s="76"/>
      <c r="D33" s="66"/>
      <c r="E33" s="76"/>
    </row>
    <row r="34" spans="1:5" ht="15" customHeight="1">
      <c r="A34" s="58" t="s">
        <v>34</v>
      </c>
      <c r="B34" s="66"/>
      <c r="C34" s="70"/>
      <c r="D34" s="66"/>
      <c r="E34" s="70"/>
    </row>
    <row r="35" spans="1:6" ht="15" customHeight="1">
      <c r="A35" s="52" t="s">
        <v>60</v>
      </c>
      <c r="B35" s="66"/>
      <c r="C35" s="69">
        <v>232299</v>
      </c>
      <c r="D35" s="66"/>
      <c r="E35" s="69">
        <v>-3120999.609999999</v>
      </c>
      <c r="F35" s="74"/>
    </row>
    <row r="36" spans="1:5" ht="15" customHeight="1">
      <c r="A36" s="52" t="s">
        <v>61</v>
      </c>
      <c r="B36" s="73">
        <f>C32</f>
        <v>456223</v>
      </c>
      <c r="C36" s="70"/>
      <c r="D36" s="73">
        <f>E32</f>
        <v>914965.4000000004</v>
      </c>
      <c r="E36" s="70"/>
    </row>
    <row r="37" spans="1:5" ht="15" customHeight="1">
      <c r="A37" s="77" t="s">
        <v>62</v>
      </c>
      <c r="B37" s="72">
        <v>0</v>
      </c>
      <c r="C37" s="68"/>
      <c r="D37" s="78">
        <f>-'[1]TB - Rounded'!$I$204</f>
        <v>2717611</v>
      </c>
      <c r="E37" s="68"/>
    </row>
    <row r="38" spans="1:5" ht="15" customHeight="1">
      <c r="A38" s="77" t="s">
        <v>63</v>
      </c>
      <c r="B38" s="73">
        <f>-'[1]TB - Rounded'!$H$196</f>
        <v>-97039</v>
      </c>
      <c r="C38" s="68"/>
      <c r="D38" s="73">
        <v>105916</v>
      </c>
      <c r="E38" s="68"/>
    </row>
    <row r="39" spans="1:5" ht="15" customHeight="1">
      <c r="A39" s="77" t="s">
        <v>64</v>
      </c>
      <c r="B39" s="71">
        <f>-'[1]TB - Rounded'!$H$192+3</f>
        <v>-30028</v>
      </c>
      <c r="C39" s="68"/>
      <c r="D39" s="71">
        <v>-56037</v>
      </c>
      <c r="E39" s="68"/>
    </row>
    <row r="40" spans="2:7" ht="15" customHeight="1">
      <c r="B40" s="73"/>
      <c r="C40" s="70"/>
      <c r="D40" s="63"/>
      <c r="E40" s="70"/>
      <c r="F40" s="79"/>
      <c r="G40" s="79"/>
    </row>
    <row r="41" spans="1:6" ht="15" customHeight="1">
      <c r="A41" s="52" t="s">
        <v>65</v>
      </c>
      <c r="C41" s="73">
        <f>SUM(B36:B39)</f>
        <v>329156</v>
      </c>
      <c r="D41" s="80"/>
      <c r="E41" s="68">
        <f>SUM(D36:D39)</f>
        <v>3682455.4000000004</v>
      </c>
      <c r="F41" s="79"/>
    </row>
    <row r="42" spans="1:6" ht="15" customHeight="1">
      <c r="A42" s="52"/>
      <c r="C42" s="68"/>
      <c r="D42" s="79"/>
      <c r="E42" s="68"/>
      <c r="F42" s="79"/>
    </row>
    <row r="43" spans="1:5" ht="15" customHeight="1">
      <c r="A43" s="81" t="s">
        <v>66</v>
      </c>
      <c r="C43" s="82"/>
      <c r="D43" s="79"/>
      <c r="E43" s="82"/>
    </row>
    <row r="44" spans="1:5" ht="15" customHeight="1" thickBot="1">
      <c r="A44" s="83"/>
      <c r="B44" s="60"/>
      <c r="C44" s="84">
        <f>C35+C41</f>
        <v>561455</v>
      </c>
      <c r="D44" s="60"/>
      <c r="E44" s="84">
        <f>E35+E41-1</f>
        <v>561454.7900000014</v>
      </c>
    </row>
    <row r="45" spans="1:5" ht="15" customHeight="1" thickTop="1">
      <c r="A45" s="83"/>
      <c r="C45" s="63"/>
      <c r="D45" s="79"/>
      <c r="E45" s="63"/>
    </row>
    <row r="46" spans="3:6" ht="15" customHeight="1">
      <c r="C46" s="63"/>
      <c r="D46" s="79"/>
      <c r="E46" s="63"/>
      <c r="F46" s="79"/>
    </row>
    <row r="47" ht="15" customHeight="1">
      <c r="A47" s="85"/>
    </row>
  </sheetData>
  <sheetProtection/>
  <mergeCells count="4">
    <mergeCell ref="A1:E1"/>
    <mergeCell ref="A2:C2"/>
    <mergeCell ref="A3:E3"/>
    <mergeCell ref="A4:E4"/>
  </mergeCells>
  <printOptions horizontalCentered="1"/>
  <pageMargins left="0.25" right="0.25" top="0.5" bottom="0.5" header="0.25" footer="0.25"/>
  <pageSetup horizontalDpi="600" verticalDpi="600"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H89"/>
  <sheetViews>
    <sheetView zoomScalePageLayoutView="0" workbookViewId="0" topLeftCell="A39">
      <selection activeCell="D59" sqref="D59"/>
    </sheetView>
  </sheetViews>
  <sheetFormatPr defaultColWidth="15.7109375" defaultRowHeight="15" customHeight="1"/>
  <cols>
    <col min="1" max="1" width="64.7109375" style="136" bestFit="1" customWidth="1"/>
    <col min="2" max="3" width="15.7109375" style="136" customWidth="1"/>
    <col min="4" max="5" width="15.7109375" style="137" customWidth="1"/>
    <col min="6" max="6" width="15.7109375" style="138" customWidth="1"/>
    <col min="7" max="16384" width="15.7109375" style="136" customWidth="1"/>
  </cols>
  <sheetData>
    <row r="1" spans="1:6" s="86" customFormat="1" ht="30" customHeight="1">
      <c r="A1" s="331" t="s">
        <v>0</v>
      </c>
      <c r="B1" s="331"/>
      <c r="C1" s="331"/>
      <c r="D1" s="331"/>
      <c r="E1" s="331"/>
      <c r="F1" s="331"/>
    </row>
    <row r="2" spans="1:6" s="87" customFormat="1" ht="15" customHeight="1">
      <c r="A2" s="332"/>
      <c r="B2" s="332"/>
      <c r="C2" s="332"/>
      <c r="D2" s="332"/>
      <c r="E2" s="332"/>
      <c r="F2" s="332"/>
    </row>
    <row r="3" spans="1:6" s="88" customFormat="1" ht="15" customHeight="1">
      <c r="A3" s="333" t="s">
        <v>67</v>
      </c>
      <c r="B3" s="333"/>
      <c r="C3" s="333"/>
      <c r="D3" s="333"/>
      <c r="E3" s="333"/>
      <c r="F3" s="333"/>
    </row>
    <row r="4" spans="1:6" s="88" customFormat="1" ht="15" customHeight="1">
      <c r="A4" s="333" t="s">
        <v>68</v>
      </c>
      <c r="B4" s="333"/>
      <c r="C4" s="333"/>
      <c r="D4" s="333"/>
      <c r="E4" s="333"/>
      <c r="F4" s="333"/>
    </row>
    <row r="5" spans="1:6" s="94" customFormat="1" ht="15" customHeight="1">
      <c r="A5" s="89"/>
      <c r="B5" s="90"/>
      <c r="C5" s="90"/>
      <c r="D5" s="91"/>
      <c r="E5" s="92"/>
      <c r="F5" s="93"/>
    </row>
    <row r="6" spans="1:6" s="98" customFormat="1" ht="30" customHeight="1">
      <c r="A6" s="95"/>
      <c r="B6" s="96" t="s">
        <v>69</v>
      </c>
      <c r="C6" s="96" t="s">
        <v>70</v>
      </c>
      <c r="D6" s="96" t="s">
        <v>71</v>
      </c>
      <c r="E6" s="96" t="s">
        <v>72</v>
      </c>
      <c r="F6" s="97" t="s">
        <v>73</v>
      </c>
    </row>
    <row r="7" spans="1:6" s="102" customFormat="1" ht="15" customHeight="1">
      <c r="A7" s="99" t="s">
        <v>74</v>
      </c>
      <c r="B7" s="100"/>
      <c r="C7" s="100"/>
      <c r="D7" s="101"/>
      <c r="E7" s="101"/>
      <c r="F7" s="101"/>
    </row>
    <row r="8" spans="1:6" s="106" customFormat="1" ht="15" customHeight="1">
      <c r="A8" s="103" t="s">
        <v>75</v>
      </c>
      <c r="B8" s="104">
        <f>'Premiums QTD-7'!B12</f>
        <v>2468649</v>
      </c>
      <c r="C8" s="104">
        <f>'Premiums QTD-7'!C12</f>
        <v>-9979</v>
      </c>
      <c r="D8" s="105">
        <f>'Premiums QTD-7'!D12</f>
        <v>0</v>
      </c>
      <c r="E8" s="105">
        <f>'Premiums QTD-7'!E12</f>
        <v>0</v>
      </c>
      <c r="F8" s="104">
        <f>SUM(B8:E8)</f>
        <v>2458670</v>
      </c>
    </row>
    <row r="9" spans="1:8" s="106" customFormat="1" ht="15" customHeight="1">
      <c r="A9" s="107" t="s">
        <v>76</v>
      </c>
      <c r="B9" s="108">
        <f>'Earned Incurred QTD-5'!D55</f>
        <v>4848</v>
      </c>
      <c r="C9" s="105">
        <v>0</v>
      </c>
      <c r="D9" s="105">
        <v>0</v>
      </c>
      <c r="E9" s="105">
        <v>0</v>
      </c>
      <c r="F9" s="108">
        <f>SUM(B9:E9)</f>
        <v>4848</v>
      </c>
      <c r="H9" s="109"/>
    </row>
    <row r="10" spans="1:6" s="106" customFormat="1" ht="15" customHeight="1">
      <c r="A10" s="103" t="s">
        <v>77</v>
      </c>
      <c r="B10" s="108">
        <f>'Earned Incurred QTD-5'!C48</f>
        <v>37502</v>
      </c>
      <c r="C10" s="105">
        <v>0</v>
      </c>
      <c r="D10" s="105">
        <v>0</v>
      </c>
      <c r="E10" s="105">
        <v>0</v>
      </c>
      <c r="F10" s="108">
        <f>SUM(B10:E10)</f>
        <v>37502</v>
      </c>
    </row>
    <row r="11" spans="1:8" s="106" customFormat="1" ht="15" customHeight="1">
      <c r="A11" s="103" t="s">
        <v>78</v>
      </c>
      <c r="B11" s="108">
        <f>'Earned Incurred QTD-5'!D53</f>
        <v>4725</v>
      </c>
      <c r="C11" s="105">
        <v>0</v>
      </c>
      <c r="D11" s="105">
        <v>0</v>
      </c>
      <c r="E11" s="105">
        <v>0</v>
      </c>
      <c r="F11" s="108">
        <f>SUM(B11:E11)</f>
        <v>4725</v>
      </c>
      <c r="H11" s="109"/>
    </row>
    <row r="12" spans="1:6" s="106" customFormat="1" ht="15" customHeight="1" thickBot="1">
      <c r="A12" s="110" t="s">
        <v>79</v>
      </c>
      <c r="B12" s="111">
        <f>SUM(B8:B11)</f>
        <v>2515724</v>
      </c>
      <c r="C12" s="111">
        <f>SUM(C8:C11)</f>
        <v>-9979</v>
      </c>
      <c r="D12" s="112">
        <f>SUM(D8:D11)</f>
        <v>0</v>
      </c>
      <c r="E12" s="112">
        <f>SUM(E8:E11)</f>
        <v>0</v>
      </c>
      <c r="F12" s="113">
        <f>SUM(F8:F11)</f>
        <v>2505745</v>
      </c>
    </row>
    <row r="13" spans="1:6" s="106" customFormat="1" ht="15" customHeight="1" thickTop="1">
      <c r="A13" s="110"/>
      <c r="B13" s="114"/>
      <c r="C13" s="114"/>
      <c r="D13" s="114"/>
      <c r="E13" s="115"/>
      <c r="F13" s="115"/>
    </row>
    <row r="14" spans="1:6" s="106" customFormat="1" ht="15" customHeight="1">
      <c r="A14" s="99" t="s">
        <v>80</v>
      </c>
      <c r="B14" s="101"/>
      <c r="C14" s="101"/>
      <c r="D14" s="101"/>
      <c r="E14" s="116"/>
      <c r="F14" s="115"/>
    </row>
    <row r="15" spans="1:6" s="106" customFormat="1" ht="15" customHeight="1">
      <c r="A15" s="110" t="s">
        <v>81</v>
      </c>
      <c r="B15" s="108">
        <f>'Losses Incurred QTD-9'!B12</f>
        <v>552227</v>
      </c>
      <c r="C15" s="108">
        <f>'Losses Incurred QTD-9'!C12</f>
        <v>459684</v>
      </c>
      <c r="D15" s="108">
        <f>'Losses Incurred QTD-9'!D12</f>
        <v>192510</v>
      </c>
      <c r="E15" s="105">
        <f>'Losses Incurred QTD-9'!E12</f>
        <v>0</v>
      </c>
      <c r="F15" s="108">
        <f aca="true" t="shared" si="0" ref="F15:F23">SUM(B15:E15)</f>
        <v>1204421</v>
      </c>
    </row>
    <row r="16" spans="1:6" s="106" customFormat="1" ht="15" customHeight="1">
      <c r="A16" s="110" t="s">
        <v>82</v>
      </c>
      <c r="B16" s="108">
        <f>'[1]Loss Expenses Paid QTD-15'!C24</f>
        <v>57193</v>
      </c>
      <c r="C16" s="108">
        <f>'[1]Loss Expenses Paid QTD-15'!C18</f>
        <v>38862</v>
      </c>
      <c r="D16" s="108">
        <f>'[1]Loss Expenses Paid QTD-15'!C12</f>
        <v>47049</v>
      </c>
      <c r="E16" s="105">
        <v>0</v>
      </c>
      <c r="F16" s="108">
        <f t="shared" si="0"/>
        <v>143104</v>
      </c>
    </row>
    <row r="17" spans="1:6" s="106" customFormat="1" ht="15" customHeight="1">
      <c r="A17" s="110" t="s">
        <v>83</v>
      </c>
      <c r="B17" s="108">
        <f>'[1]Loss Expenses Paid QTD-15'!I24</f>
        <v>42135</v>
      </c>
      <c r="C17" s="108">
        <f>'[1]Loss Expenses Paid QTD-15'!I18</f>
        <v>35074</v>
      </c>
      <c r="D17" s="108">
        <f>'[1]Loss Expenses Paid QTD-15'!I12</f>
        <v>14747</v>
      </c>
      <c r="E17" s="105">
        <v>0</v>
      </c>
      <c r="F17" s="108">
        <f t="shared" si="0"/>
        <v>91956</v>
      </c>
    </row>
    <row r="18" spans="1:6" s="106" customFormat="1" ht="15" customHeight="1">
      <c r="A18" s="110" t="s">
        <v>84</v>
      </c>
      <c r="B18" s="105">
        <f>'[1]TB - Rounded'!$H$387</f>
        <v>0</v>
      </c>
      <c r="C18" s="105">
        <v>0</v>
      </c>
      <c r="D18" s="105">
        <v>0</v>
      </c>
      <c r="E18" s="105">
        <v>0</v>
      </c>
      <c r="F18" s="105">
        <f t="shared" si="0"/>
        <v>0</v>
      </c>
    </row>
    <row r="19" spans="1:6" s="106" customFormat="1" ht="15" customHeight="1">
      <c r="A19" s="117" t="s">
        <v>85</v>
      </c>
      <c r="B19" s="108">
        <f>'[1]TB - Rounded'!$H$395</f>
        <v>15900</v>
      </c>
      <c r="C19" s="105">
        <f>'[1]TB - Rounded'!$H$391</f>
        <v>0</v>
      </c>
      <c r="D19" s="105">
        <v>0</v>
      </c>
      <c r="E19" s="105">
        <v>0</v>
      </c>
      <c r="F19" s="108">
        <f t="shared" si="0"/>
        <v>15900</v>
      </c>
    </row>
    <row r="20" spans="1:6" s="106" customFormat="1" ht="15" customHeight="1">
      <c r="A20" s="110" t="s">
        <v>86</v>
      </c>
      <c r="B20" s="108">
        <f>'[1]TB - Rounded'!$H$389</f>
        <v>4500</v>
      </c>
      <c r="C20" s="105">
        <v>0</v>
      </c>
      <c r="D20" s="105">
        <v>0</v>
      </c>
      <c r="E20" s="105">
        <v>0</v>
      </c>
      <c r="F20" s="108">
        <f t="shared" si="0"/>
        <v>4500</v>
      </c>
    </row>
    <row r="21" spans="1:6" s="106" customFormat="1" ht="15" customHeight="1">
      <c r="A21" s="117" t="s">
        <v>87</v>
      </c>
      <c r="B21" s="108">
        <f>'[1]TB - Rounded'!H382</f>
        <v>208642</v>
      </c>
      <c r="C21" s="118">
        <f>'[1]TB - Rounded'!H378</f>
        <v>-946</v>
      </c>
      <c r="D21" s="105">
        <v>0</v>
      </c>
      <c r="E21" s="105">
        <v>0</v>
      </c>
      <c r="F21" s="108">
        <f t="shared" si="0"/>
        <v>207696</v>
      </c>
    </row>
    <row r="22" spans="1:6" s="106" customFormat="1" ht="15" customHeight="1">
      <c r="A22" s="110" t="s">
        <v>88</v>
      </c>
      <c r="B22" s="108">
        <f>'Earned Incurred QTD-5'!C39</f>
        <v>690100</v>
      </c>
      <c r="C22" s="105">
        <v>0</v>
      </c>
      <c r="D22" s="105">
        <v>0</v>
      </c>
      <c r="E22" s="105">
        <v>0</v>
      </c>
      <c r="F22" s="108">
        <f t="shared" si="0"/>
        <v>690100</v>
      </c>
    </row>
    <row r="23" spans="1:6" s="106" customFormat="1" ht="15" customHeight="1">
      <c r="A23" s="110" t="s">
        <v>31</v>
      </c>
      <c r="B23" s="105">
        <v>0</v>
      </c>
      <c r="C23" s="108">
        <f>'Earned Incurred QTD-5'!C32</f>
        <v>1856</v>
      </c>
      <c r="D23" s="105">
        <v>0</v>
      </c>
      <c r="E23" s="105">
        <v>0</v>
      </c>
      <c r="F23" s="108">
        <f t="shared" si="0"/>
        <v>1856</v>
      </c>
    </row>
    <row r="24" spans="1:7" s="106" customFormat="1" ht="15" customHeight="1" thickBot="1">
      <c r="A24" s="110" t="s">
        <v>79</v>
      </c>
      <c r="B24" s="111">
        <f>SUM(B15:B23)</f>
        <v>1570697</v>
      </c>
      <c r="C24" s="111">
        <f>SUM(C15:C23)</f>
        <v>534530</v>
      </c>
      <c r="D24" s="111">
        <f>SUM(D15:D23)</f>
        <v>254306</v>
      </c>
      <c r="E24" s="112">
        <f>SUM(E15:E23)</f>
        <v>0</v>
      </c>
      <c r="F24" s="113">
        <f>SUM(F15:F23)</f>
        <v>2359533</v>
      </c>
      <c r="G24" s="110"/>
    </row>
    <row r="25" spans="1:6" s="106" customFormat="1" ht="15" customHeight="1" thickTop="1">
      <c r="A25" s="110"/>
      <c r="B25" s="114"/>
      <c r="C25" s="114"/>
      <c r="D25" s="114"/>
      <c r="E25" s="115"/>
      <c r="F25" s="115"/>
    </row>
    <row r="26" spans="1:6" s="106" customFormat="1" ht="15" customHeight="1" thickBot="1">
      <c r="A26" s="119" t="s">
        <v>89</v>
      </c>
      <c r="B26" s="120">
        <f>B12-B24</f>
        <v>945027</v>
      </c>
      <c r="C26" s="120">
        <f>C12-C24</f>
        <v>-544509</v>
      </c>
      <c r="D26" s="120">
        <f>D12-D24</f>
        <v>-254306</v>
      </c>
      <c r="E26" s="112">
        <f>E12-E24</f>
        <v>0</v>
      </c>
      <c r="F26" s="121">
        <f>SUM(B26:E26)</f>
        <v>146212</v>
      </c>
    </row>
    <row r="27" spans="1:6" s="106" customFormat="1" ht="15" customHeight="1" thickTop="1">
      <c r="A27" s="110"/>
      <c r="B27" s="114"/>
      <c r="C27" s="114"/>
      <c r="D27" s="114"/>
      <c r="E27" s="115"/>
      <c r="F27" s="115"/>
    </row>
    <row r="28" spans="1:6" s="106" customFormat="1" ht="15" customHeight="1">
      <c r="A28" s="99" t="s">
        <v>90</v>
      </c>
      <c r="B28" s="101"/>
      <c r="C28" s="101"/>
      <c r="D28" s="101"/>
      <c r="E28" s="116"/>
      <c r="F28" s="115"/>
    </row>
    <row r="29" spans="1:6" s="106" customFormat="1" ht="15" customHeight="1">
      <c r="A29" s="110" t="s">
        <v>91</v>
      </c>
      <c r="B29" s="108">
        <f>'Earned Incurred QTD-5'!B50</f>
        <v>16121</v>
      </c>
      <c r="C29" s="105">
        <v>0</v>
      </c>
      <c r="D29" s="105">
        <v>0</v>
      </c>
      <c r="E29" s="105">
        <v>0</v>
      </c>
      <c r="F29" s="108">
        <f>SUM(B29:E29)</f>
        <v>16121</v>
      </c>
    </row>
    <row r="30" spans="1:6" s="106" customFormat="1" ht="15" customHeight="1">
      <c r="A30" s="110" t="s">
        <v>92</v>
      </c>
      <c r="B30" s="108">
        <f>'Balance Sheet-1'!C16</f>
        <v>216375</v>
      </c>
      <c r="C30" s="105">
        <v>0</v>
      </c>
      <c r="D30" s="105">
        <v>0</v>
      </c>
      <c r="E30" s="105">
        <v>0</v>
      </c>
      <c r="F30" s="108">
        <f>SUM(B30:E30)</f>
        <v>216375</v>
      </c>
    </row>
    <row r="31" spans="1:6" s="106" customFormat="1" ht="15" customHeight="1">
      <c r="A31" s="110" t="s">
        <v>64</v>
      </c>
      <c r="B31" s="108">
        <f>-'Income Statement-2'!B39</f>
        <v>30028</v>
      </c>
      <c r="C31" s="105">
        <v>0</v>
      </c>
      <c r="D31" s="105">
        <v>0</v>
      </c>
      <c r="E31" s="105">
        <v>0</v>
      </c>
      <c r="F31" s="108">
        <f>SUM(B31:E31)</f>
        <v>30028</v>
      </c>
    </row>
    <row r="32" spans="1:8" s="106" customFormat="1" ht="15" customHeight="1" thickBot="1">
      <c r="A32" s="110" t="s">
        <v>79</v>
      </c>
      <c r="B32" s="111">
        <f>SUM(B29:B31)</f>
        <v>262524</v>
      </c>
      <c r="C32" s="122">
        <f>SUM(C29:C31)</f>
        <v>0</v>
      </c>
      <c r="D32" s="122">
        <f>SUM(D29:D31)</f>
        <v>0</v>
      </c>
      <c r="E32" s="122">
        <f>SUM(E29:E31)</f>
        <v>0</v>
      </c>
      <c r="F32" s="113">
        <f>SUM(F29:F31)</f>
        <v>262524</v>
      </c>
      <c r="G32" s="123"/>
      <c r="H32" s="109"/>
    </row>
    <row r="33" spans="1:8" s="106" customFormat="1" ht="15" customHeight="1" thickTop="1">
      <c r="A33" s="110"/>
      <c r="B33" s="114"/>
      <c r="C33" s="114"/>
      <c r="D33" s="114"/>
      <c r="E33" s="115"/>
      <c r="F33" s="115"/>
      <c r="H33" s="109"/>
    </row>
    <row r="34" spans="1:6" s="106" customFormat="1" ht="15" customHeight="1">
      <c r="A34" s="99" t="s">
        <v>93</v>
      </c>
      <c r="B34" s="101"/>
      <c r="C34" s="101"/>
      <c r="D34" s="101"/>
      <c r="E34" s="116"/>
      <c r="F34" s="115"/>
    </row>
    <row r="35" spans="1:6" s="106" customFormat="1" ht="15" customHeight="1">
      <c r="A35" s="110" t="s">
        <v>94</v>
      </c>
      <c r="B35" s="108">
        <f>'Earned Incurred QTD-5'!B49</f>
        <v>26130</v>
      </c>
      <c r="C35" s="105">
        <v>0</v>
      </c>
      <c r="D35" s="105">
        <v>0</v>
      </c>
      <c r="E35" s="105">
        <v>0</v>
      </c>
      <c r="F35" s="108">
        <f>SUM(B35:E35)</f>
        <v>26130</v>
      </c>
    </row>
    <row r="36" spans="1:6" s="106" customFormat="1" ht="15" customHeight="1">
      <c r="A36" s="110" t="s">
        <v>95</v>
      </c>
      <c r="B36" s="108">
        <v>119337</v>
      </c>
      <c r="C36" s="105">
        <v>0</v>
      </c>
      <c r="D36" s="105">
        <v>0</v>
      </c>
      <c r="E36" s="105">
        <v>0</v>
      </c>
      <c r="F36" s="108">
        <f>SUM(B36:E36)</f>
        <v>119337</v>
      </c>
    </row>
    <row r="37" spans="1:6" s="106" customFormat="1" ht="15" customHeight="1" thickBot="1">
      <c r="A37" s="110" t="s">
        <v>79</v>
      </c>
      <c r="B37" s="111">
        <f>SUM(B35:B36)</f>
        <v>145467</v>
      </c>
      <c r="C37" s="122">
        <f>SUM(C35:C36)</f>
        <v>0</v>
      </c>
      <c r="D37" s="122">
        <f>SUM(D35:D36)</f>
        <v>0</v>
      </c>
      <c r="E37" s="122">
        <f>SUM(E35:E36)</f>
        <v>0</v>
      </c>
      <c r="F37" s="113">
        <f>SUM(F35:F36)</f>
        <v>145467</v>
      </c>
    </row>
    <row r="38" spans="1:6" s="106" customFormat="1" ht="15" customHeight="1" thickTop="1">
      <c r="A38" s="110"/>
      <c r="B38" s="114"/>
      <c r="C38" s="114"/>
      <c r="D38" s="114"/>
      <c r="E38" s="115"/>
      <c r="F38" s="124"/>
    </row>
    <row r="39" spans="1:6" s="106" customFormat="1" ht="15" customHeight="1">
      <c r="A39" s="125" t="s">
        <v>96</v>
      </c>
      <c r="B39" s="126"/>
      <c r="C39" s="126"/>
      <c r="D39" s="126"/>
      <c r="E39" s="126"/>
      <c r="F39" s="126"/>
    </row>
    <row r="40" spans="1:6" s="106" customFormat="1" ht="15" customHeight="1">
      <c r="A40" s="127" t="s">
        <v>62</v>
      </c>
      <c r="B40" s="105">
        <v>0</v>
      </c>
      <c r="C40" s="105">
        <v>0</v>
      </c>
      <c r="D40" s="105">
        <v>0</v>
      </c>
      <c r="E40" s="105">
        <v>0</v>
      </c>
      <c r="F40" s="105">
        <f>SUM(B40:E40)</f>
        <v>0</v>
      </c>
    </row>
    <row r="41" spans="1:6" s="106" customFormat="1" ht="15" customHeight="1" thickBot="1">
      <c r="A41" s="127" t="s">
        <v>79</v>
      </c>
      <c r="B41" s="128">
        <f>SUM(B40:B40)</f>
        <v>0</v>
      </c>
      <c r="C41" s="128">
        <f>SUM(C40:C40)</f>
        <v>0</v>
      </c>
      <c r="D41" s="128">
        <f>SUM(D40:D40)</f>
        <v>0</v>
      </c>
      <c r="E41" s="128">
        <f>SUM(E40:E40)</f>
        <v>0</v>
      </c>
      <c r="F41" s="113">
        <f>SUM(F40)</f>
        <v>0</v>
      </c>
    </row>
    <row r="42" spans="1:7" s="106" customFormat="1" ht="15" customHeight="1" thickTop="1">
      <c r="A42" s="110"/>
      <c r="B42" s="114"/>
      <c r="C42" s="114"/>
      <c r="D42" s="114"/>
      <c r="E42" s="115"/>
      <c r="F42" s="124"/>
      <c r="G42" s="129"/>
    </row>
    <row r="43" spans="1:6" s="106" customFormat="1" ht="15" customHeight="1" thickBot="1">
      <c r="A43" s="99" t="s">
        <v>97</v>
      </c>
      <c r="B43" s="120">
        <f>B26-B32+B37+B41</f>
        <v>827970</v>
      </c>
      <c r="C43" s="120">
        <f>C26-C32+C37+C41</f>
        <v>-544509</v>
      </c>
      <c r="D43" s="120">
        <f>D26-D32+D37+D41</f>
        <v>-254306</v>
      </c>
      <c r="E43" s="128">
        <f>E26-E32+E37+E41</f>
        <v>0</v>
      </c>
      <c r="F43" s="121">
        <f>F26-F32+F37+F41</f>
        <v>29155</v>
      </c>
    </row>
    <row r="44" spans="1:6" s="106" customFormat="1" ht="15" customHeight="1" thickTop="1">
      <c r="A44" s="110"/>
      <c r="B44" s="114"/>
      <c r="C44" s="114"/>
      <c r="D44" s="114"/>
      <c r="E44" s="115"/>
      <c r="F44" s="115"/>
    </row>
    <row r="45" spans="1:6" s="106" customFormat="1" ht="15" customHeight="1">
      <c r="A45" s="130" t="s">
        <v>98</v>
      </c>
      <c r="B45" s="131"/>
      <c r="C45" s="131"/>
      <c r="D45" s="131"/>
      <c r="E45" s="115"/>
      <c r="F45" s="115"/>
    </row>
    <row r="46" spans="1:6" s="106" customFormat="1" ht="15" customHeight="1">
      <c r="A46" s="110" t="s">
        <v>25</v>
      </c>
      <c r="B46" s="108">
        <f>'Premiums QTD-7'!B18</f>
        <v>5184614</v>
      </c>
      <c r="C46" s="105">
        <f>'Premiums QTD-7'!C18</f>
        <v>0</v>
      </c>
      <c r="D46" s="105">
        <f>'Premiums QTD-7'!D18</f>
        <v>0</v>
      </c>
      <c r="E46" s="105">
        <f>'Premiums QTD-7'!E18</f>
        <v>0</v>
      </c>
      <c r="F46" s="108">
        <f>SUM(B46:E46)</f>
        <v>5184614</v>
      </c>
    </row>
    <row r="47" spans="1:6" s="106" customFormat="1" ht="15" customHeight="1">
      <c r="A47" s="110" t="s">
        <v>99</v>
      </c>
      <c r="B47" s="108">
        <f>'Losses Incurred QTD-9'!B18+'Losses Incurred QTD-9'!B24</f>
        <v>1518246</v>
      </c>
      <c r="C47" s="108">
        <f>'Losses Incurred QTD-9'!C18+'Losses Incurred QTD-9'!C24</f>
        <v>245907</v>
      </c>
      <c r="D47" s="108">
        <f>'Losses Incurred QTD-9'!D18+'Losses Incurred QTD-9'!D24</f>
        <v>51262</v>
      </c>
      <c r="E47" s="105">
        <f>'Losses Incurred QTD-9'!E18+'Losses Incurred QTD-9'!E24</f>
        <v>0</v>
      </c>
      <c r="F47" s="108">
        <f>SUM(B47:E47)</f>
        <v>1815415</v>
      </c>
    </row>
    <row r="48" spans="1:6" s="106" customFormat="1" ht="15" customHeight="1">
      <c r="A48" s="110" t="s">
        <v>100</v>
      </c>
      <c r="B48" s="108">
        <f>'Loss Expenses QTD-11'!B18</f>
        <v>299999</v>
      </c>
      <c r="C48" s="108">
        <f>'Loss Expenses QTD-11'!C18</f>
        <v>77486</v>
      </c>
      <c r="D48" s="108">
        <f>'Loss Expenses QTD-11'!D18</f>
        <v>28796</v>
      </c>
      <c r="E48" s="105">
        <f>'Loss Expenses QTD-11'!E18</f>
        <v>0</v>
      </c>
      <c r="F48" s="108">
        <f>SUM(B48:E48)</f>
        <v>406281</v>
      </c>
    </row>
    <row r="49" spans="1:6" s="106" customFormat="1" ht="15" customHeight="1">
      <c r="A49" s="110" t="s">
        <v>101</v>
      </c>
      <c r="B49" s="108">
        <f>'Earned Incurred QTD-5'!B41</f>
        <v>224460</v>
      </c>
      <c r="C49" s="105">
        <v>0</v>
      </c>
      <c r="D49" s="105">
        <v>0</v>
      </c>
      <c r="E49" s="105">
        <v>0</v>
      </c>
      <c r="F49" s="108">
        <f>SUM(B49:E49)</f>
        <v>224460</v>
      </c>
    </row>
    <row r="50" spans="1:7" s="106" customFormat="1" ht="15" customHeight="1">
      <c r="A50" s="110" t="s">
        <v>102</v>
      </c>
      <c r="B50" s="108">
        <f>'Earned Incurred QTD-5'!B33</f>
        <v>37509</v>
      </c>
      <c r="C50" s="105">
        <v>0</v>
      </c>
      <c r="D50" s="105">
        <v>0</v>
      </c>
      <c r="E50" s="105">
        <v>0</v>
      </c>
      <c r="F50" s="108">
        <f>SUM(B50:E50)</f>
        <v>37509</v>
      </c>
      <c r="G50" s="129"/>
    </row>
    <row r="51" spans="1:6" s="106" customFormat="1" ht="15" customHeight="1" thickBot="1">
      <c r="A51" s="132" t="s">
        <v>79</v>
      </c>
      <c r="B51" s="111">
        <f>SUM(B46:B50)</f>
        <v>7264828</v>
      </c>
      <c r="C51" s="111">
        <f>SUM(C46:C50)</f>
        <v>323393</v>
      </c>
      <c r="D51" s="111">
        <f>SUM(D46:D50)</f>
        <v>80058</v>
      </c>
      <c r="E51" s="112">
        <f>SUM(E46:E50)</f>
        <v>0</v>
      </c>
      <c r="F51" s="113">
        <f>SUM(F46:F50)</f>
        <v>7668279</v>
      </c>
    </row>
    <row r="52" spans="1:6" s="106" customFormat="1" ht="15" customHeight="1" thickTop="1">
      <c r="A52" s="110"/>
      <c r="B52" s="114"/>
      <c r="C52" s="114"/>
      <c r="D52" s="114"/>
      <c r="E52" s="115"/>
      <c r="F52" s="115"/>
    </row>
    <row r="53" spans="1:6" s="106" customFormat="1" ht="15" customHeight="1">
      <c r="A53" s="130" t="s">
        <v>103</v>
      </c>
      <c r="B53" s="131"/>
      <c r="C53" s="131"/>
      <c r="D53" s="131"/>
      <c r="E53" s="115"/>
      <c r="F53" s="115"/>
    </row>
    <row r="54" spans="1:6" s="106" customFormat="1" ht="15" customHeight="1">
      <c r="A54" s="110" t="s">
        <v>25</v>
      </c>
      <c r="B54" s="108">
        <f>'Premiums QTD-7'!B24</f>
        <v>5007241</v>
      </c>
      <c r="C54" s="108">
        <f>'Premiums QTD-7'!C24</f>
        <v>314813</v>
      </c>
      <c r="D54" s="105">
        <f>'Premiums QTD-7'!D24</f>
        <v>0</v>
      </c>
      <c r="E54" s="105">
        <f>'Premiums QTD-7'!E24</f>
        <v>0</v>
      </c>
      <c r="F54" s="108">
        <f>SUM(B54:E54)</f>
        <v>5322054</v>
      </c>
    </row>
    <row r="55" spans="1:6" s="106" customFormat="1" ht="15" customHeight="1">
      <c r="A55" s="110" t="s">
        <v>99</v>
      </c>
      <c r="B55" s="108">
        <f>'Losses Incurred QTD-9'!B31</f>
        <v>993447</v>
      </c>
      <c r="C55" s="108">
        <f>'Losses Incurred QTD-9'!C31</f>
        <v>723273</v>
      </c>
      <c r="D55" s="108">
        <f>'Losses Incurred QTD-9'!D31</f>
        <v>330637</v>
      </c>
      <c r="E55" s="105">
        <f>'Losses Incurred QTD-9'!E31</f>
        <v>0</v>
      </c>
      <c r="F55" s="108">
        <f>SUM(B55:E55)</f>
        <v>2047357</v>
      </c>
    </row>
    <row r="56" spans="1:6" s="106" customFormat="1" ht="15" customHeight="1">
      <c r="A56" s="110" t="s">
        <v>104</v>
      </c>
      <c r="B56" s="108">
        <f>'Loss Expenses QTD-11'!B24</f>
        <v>194477</v>
      </c>
      <c r="C56" s="108">
        <f>'Loss Expenses QTD-11'!C24</f>
        <v>143602</v>
      </c>
      <c r="D56" s="108">
        <f>'Loss Expenses QTD-11'!D24</f>
        <v>46086</v>
      </c>
      <c r="E56" s="105">
        <f>'Loss Expenses QTD-11'!E24</f>
        <v>0</v>
      </c>
      <c r="F56" s="108">
        <f>SUM(B56:E56)</f>
        <v>384165</v>
      </c>
    </row>
    <row r="57" spans="1:6" s="106" customFormat="1" ht="15" customHeight="1">
      <c r="A57" s="110" t="s">
        <v>101</v>
      </c>
      <c r="B57" s="108">
        <f>'Earned Incurred QTD-5'!B42</f>
        <v>189102</v>
      </c>
      <c r="C57" s="105">
        <v>0</v>
      </c>
      <c r="D57" s="105">
        <v>0</v>
      </c>
      <c r="E57" s="105">
        <v>0</v>
      </c>
      <c r="F57" s="108">
        <f>SUM(B57:E57)</f>
        <v>189102</v>
      </c>
    </row>
    <row r="58" spans="1:6" s="106" customFormat="1" ht="15" customHeight="1">
      <c r="A58" s="110" t="s">
        <v>102</v>
      </c>
      <c r="B58" s="108">
        <f>'Earned Incurred QTD-5'!B34</f>
        <v>25603</v>
      </c>
      <c r="C58" s="105">
        <v>0</v>
      </c>
      <c r="D58" s="105">
        <v>0</v>
      </c>
      <c r="E58" s="105">
        <v>0</v>
      </c>
      <c r="F58" s="108">
        <f>SUM(B58:E58)</f>
        <v>25603</v>
      </c>
    </row>
    <row r="59" spans="1:6" s="106" customFormat="1" ht="15" customHeight="1" thickBot="1">
      <c r="A59" s="110" t="s">
        <v>79</v>
      </c>
      <c r="B59" s="111">
        <f>SUM(B54:B58)</f>
        <v>6409870</v>
      </c>
      <c r="C59" s="111">
        <f>SUM(C54:C58)</f>
        <v>1181688</v>
      </c>
      <c r="D59" s="111">
        <f>SUM(D54:D58)</f>
        <v>376723</v>
      </c>
      <c r="E59" s="112">
        <f>SUM(E54:E58)</f>
        <v>0</v>
      </c>
      <c r="F59" s="113">
        <f>SUM(F54:F58)</f>
        <v>7968281</v>
      </c>
    </row>
    <row r="60" spans="1:6" s="106" customFormat="1" ht="15" customHeight="1" thickTop="1">
      <c r="A60" s="110"/>
      <c r="B60" s="114"/>
      <c r="C60" s="114"/>
      <c r="D60" s="114"/>
      <c r="E60" s="114"/>
      <c r="F60" s="25"/>
    </row>
    <row r="61" spans="1:6" s="106" customFormat="1" ht="15" customHeight="1" thickBot="1">
      <c r="A61" s="119" t="s">
        <v>105</v>
      </c>
      <c r="B61" s="133">
        <f>B43-B51+B59</f>
        <v>-26988</v>
      </c>
      <c r="C61" s="133">
        <f>C43-C51+C59</f>
        <v>313786</v>
      </c>
      <c r="D61" s="133">
        <f>D43-D51+D59</f>
        <v>42359</v>
      </c>
      <c r="E61" s="134">
        <f>E43-E51+E59</f>
        <v>0</v>
      </c>
      <c r="F61" s="133">
        <f>F43-F51+F59-1</f>
        <v>329156</v>
      </c>
    </row>
    <row r="62" spans="1:6" s="106" customFormat="1" ht="15" customHeight="1" thickTop="1">
      <c r="A62" s="102"/>
      <c r="B62" s="102"/>
      <c r="C62" s="102"/>
      <c r="D62" s="114"/>
      <c r="E62" s="114"/>
      <c r="F62" s="108"/>
    </row>
    <row r="63" spans="4:6" s="106" customFormat="1" ht="15" customHeight="1">
      <c r="D63" s="114"/>
      <c r="E63" s="114"/>
      <c r="F63" s="135"/>
    </row>
    <row r="64" spans="4:6" s="106" customFormat="1" ht="15" customHeight="1">
      <c r="D64" s="114"/>
      <c r="E64" s="114"/>
      <c r="F64" s="25"/>
    </row>
    <row r="65" spans="4:6" s="106" customFormat="1" ht="15" customHeight="1">
      <c r="D65" s="114"/>
      <c r="E65" s="114"/>
      <c r="F65" s="25"/>
    </row>
    <row r="66" spans="4:6" s="106" customFormat="1" ht="15" customHeight="1">
      <c r="D66" s="114"/>
      <c r="E66" s="114"/>
      <c r="F66" s="25"/>
    </row>
    <row r="67" spans="4:6" s="106" customFormat="1" ht="15" customHeight="1">
      <c r="D67" s="114"/>
      <c r="E67" s="114"/>
      <c r="F67" s="25"/>
    </row>
    <row r="68" spans="4:6" s="106" customFormat="1" ht="15" customHeight="1">
      <c r="D68" s="114"/>
      <c r="E68" s="114"/>
      <c r="F68" s="25"/>
    </row>
    <row r="69" spans="4:6" s="106" customFormat="1" ht="15" customHeight="1">
      <c r="D69" s="114"/>
      <c r="E69" s="114"/>
      <c r="F69" s="25"/>
    </row>
    <row r="70" spans="4:6" s="106" customFormat="1" ht="15" customHeight="1">
      <c r="D70" s="114"/>
      <c r="E70" s="114"/>
      <c r="F70" s="25"/>
    </row>
    <row r="71" spans="4:6" s="106" customFormat="1" ht="15" customHeight="1">
      <c r="D71" s="114"/>
      <c r="E71" s="114"/>
      <c r="F71" s="25"/>
    </row>
    <row r="72" spans="4:6" s="106" customFormat="1" ht="15" customHeight="1">
      <c r="D72" s="114"/>
      <c r="E72" s="114"/>
      <c r="F72" s="25"/>
    </row>
    <row r="73" spans="4:6" s="106" customFormat="1" ht="15" customHeight="1">
      <c r="D73" s="114"/>
      <c r="E73" s="114"/>
      <c r="F73" s="25"/>
    </row>
    <row r="74" spans="4:6" s="106" customFormat="1" ht="15" customHeight="1">
      <c r="D74" s="114"/>
      <c r="E74" s="114"/>
      <c r="F74" s="25"/>
    </row>
    <row r="75" spans="4:6" s="106" customFormat="1" ht="15" customHeight="1">
      <c r="D75" s="114"/>
      <c r="E75" s="114"/>
      <c r="F75" s="25"/>
    </row>
    <row r="76" spans="4:6" s="106" customFormat="1" ht="15" customHeight="1">
      <c r="D76" s="114"/>
      <c r="E76" s="114"/>
      <c r="F76" s="25"/>
    </row>
    <row r="77" spans="4:6" s="106" customFormat="1" ht="15" customHeight="1">
      <c r="D77" s="114"/>
      <c r="E77" s="114"/>
      <c r="F77" s="25"/>
    </row>
    <row r="78" spans="4:6" s="106" customFormat="1" ht="15" customHeight="1">
      <c r="D78" s="114"/>
      <c r="E78" s="114"/>
      <c r="F78" s="25"/>
    </row>
    <row r="79" spans="4:6" s="106" customFormat="1" ht="15" customHeight="1">
      <c r="D79" s="114"/>
      <c r="E79" s="114"/>
      <c r="F79" s="25"/>
    </row>
    <row r="80" spans="4:6" s="106" customFormat="1" ht="15" customHeight="1">
      <c r="D80" s="114"/>
      <c r="E80" s="114"/>
      <c r="F80" s="25"/>
    </row>
    <row r="81" spans="4:6" s="106" customFormat="1" ht="15" customHeight="1">
      <c r="D81" s="114"/>
      <c r="E81" s="114"/>
      <c r="F81" s="25"/>
    </row>
    <row r="82" spans="4:6" s="106" customFormat="1" ht="15" customHeight="1">
      <c r="D82" s="114"/>
      <c r="E82" s="114"/>
      <c r="F82" s="25"/>
    </row>
    <row r="83" spans="4:6" s="106" customFormat="1" ht="15" customHeight="1">
      <c r="D83" s="114"/>
      <c r="E83" s="114"/>
      <c r="F83" s="25"/>
    </row>
    <row r="84" spans="4:6" s="106" customFormat="1" ht="15" customHeight="1">
      <c r="D84" s="114"/>
      <c r="E84" s="114"/>
      <c r="F84" s="25"/>
    </row>
    <row r="85" spans="4:6" s="106" customFormat="1" ht="15" customHeight="1">
      <c r="D85" s="114"/>
      <c r="E85" s="114"/>
      <c r="F85" s="25"/>
    </row>
    <row r="86" spans="4:6" s="106" customFormat="1" ht="15" customHeight="1">
      <c r="D86" s="114"/>
      <c r="E86" s="114"/>
      <c r="F86" s="25"/>
    </row>
    <row r="87" spans="4:6" s="106" customFormat="1" ht="15" customHeight="1">
      <c r="D87" s="114"/>
      <c r="E87" s="114"/>
      <c r="F87" s="25"/>
    </row>
    <row r="88" spans="4:6" s="106" customFormat="1" ht="15" customHeight="1">
      <c r="D88" s="114"/>
      <c r="E88" s="114"/>
      <c r="F88" s="25"/>
    </row>
    <row r="89" spans="4:6" s="106" customFormat="1" ht="15" customHeight="1">
      <c r="D89" s="114"/>
      <c r="E89" s="114"/>
      <c r="F89" s="25"/>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O93"/>
  <sheetViews>
    <sheetView zoomScalePageLayoutView="0" workbookViewId="0" topLeftCell="A48">
      <selection activeCell="D59" sqref="D59"/>
    </sheetView>
  </sheetViews>
  <sheetFormatPr defaultColWidth="15.7109375" defaultRowHeight="15" customHeight="1"/>
  <cols>
    <col min="1" max="1" width="64.7109375" style="136" bestFit="1" customWidth="1"/>
    <col min="2" max="3" width="15.7109375" style="136" customWidth="1"/>
    <col min="4" max="5" width="15.7109375" style="137" customWidth="1"/>
    <col min="6" max="6" width="15.7109375" style="138" customWidth="1"/>
    <col min="7" max="16384" width="15.7109375" style="136" customWidth="1"/>
  </cols>
  <sheetData>
    <row r="1" spans="1:6" s="86" customFormat="1" ht="30" customHeight="1">
      <c r="A1" s="331" t="s">
        <v>0</v>
      </c>
      <c r="B1" s="331"/>
      <c r="C1" s="331"/>
      <c r="D1" s="331"/>
      <c r="E1" s="331"/>
      <c r="F1" s="331"/>
    </row>
    <row r="2" spans="1:6" s="87" customFormat="1" ht="15" customHeight="1">
      <c r="A2" s="332"/>
      <c r="B2" s="332"/>
      <c r="C2" s="332"/>
      <c r="D2" s="332"/>
      <c r="E2" s="332"/>
      <c r="F2" s="332"/>
    </row>
    <row r="3" spans="1:6" s="88" customFormat="1" ht="15" customHeight="1">
      <c r="A3" s="333" t="s">
        <v>67</v>
      </c>
      <c r="B3" s="333"/>
      <c r="C3" s="333"/>
      <c r="D3" s="333"/>
      <c r="E3" s="333"/>
      <c r="F3" s="333"/>
    </row>
    <row r="4" spans="1:6" s="88" customFormat="1" ht="15" customHeight="1">
      <c r="A4" s="333" t="s">
        <v>106</v>
      </c>
      <c r="B4" s="333"/>
      <c r="C4" s="333"/>
      <c r="D4" s="333"/>
      <c r="E4" s="333"/>
      <c r="F4" s="333"/>
    </row>
    <row r="5" spans="1:6" s="94" customFormat="1" ht="15" customHeight="1">
      <c r="A5" s="139"/>
      <c r="B5" s="140"/>
      <c r="C5" s="140"/>
      <c r="D5" s="141"/>
      <c r="E5" s="142"/>
      <c r="F5" s="143"/>
    </row>
    <row r="6" spans="1:6" s="98" customFormat="1" ht="30" customHeight="1">
      <c r="A6" s="95"/>
      <c r="B6" s="96" t="s">
        <v>69</v>
      </c>
      <c r="C6" s="96" t="s">
        <v>70</v>
      </c>
      <c r="D6" s="96" t="s">
        <v>71</v>
      </c>
      <c r="E6" s="96" t="s">
        <v>72</v>
      </c>
      <c r="F6" s="97" t="s">
        <v>73</v>
      </c>
    </row>
    <row r="7" spans="1:6" s="102" customFormat="1" ht="15" customHeight="1">
      <c r="A7" s="99" t="s">
        <v>74</v>
      </c>
      <c r="B7" s="100"/>
      <c r="C7" s="100"/>
      <c r="D7" s="101"/>
      <c r="E7" s="101"/>
      <c r="F7" s="101"/>
    </row>
    <row r="8" spans="1:6" s="106" customFormat="1" ht="15" customHeight="1">
      <c r="A8" s="103" t="s">
        <v>75</v>
      </c>
      <c r="B8" s="104">
        <f>'Premiums YTD-8'!B12</f>
        <v>10386771</v>
      </c>
      <c r="C8" s="104">
        <f>'Premiums YTD-8'!C12</f>
        <v>-122754</v>
      </c>
      <c r="D8" s="104">
        <f>'Premiums YTD-8'!D12</f>
        <v>-3381</v>
      </c>
      <c r="E8" s="105">
        <f>'Premiums YTD-8'!E12</f>
        <v>0</v>
      </c>
      <c r="F8" s="104">
        <f>SUM(B8:E8)</f>
        <v>10260636</v>
      </c>
    </row>
    <row r="9" spans="1:8" s="106" customFormat="1" ht="15" customHeight="1">
      <c r="A9" s="107" t="s">
        <v>76</v>
      </c>
      <c r="B9" s="108">
        <f>'Earned Incurred YTD-6'!D55</f>
        <v>19432</v>
      </c>
      <c r="C9" s="105">
        <v>0</v>
      </c>
      <c r="D9" s="105">
        <v>0</v>
      </c>
      <c r="E9" s="105">
        <v>0</v>
      </c>
      <c r="F9" s="108">
        <f>SUM(B9:E9)</f>
        <v>19432</v>
      </c>
      <c r="H9" s="109"/>
    </row>
    <row r="10" spans="1:6" s="106" customFormat="1" ht="15" customHeight="1">
      <c r="A10" s="103" t="s">
        <v>77</v>
      </c>
      <c r="B10" s="108">
        <f>'Earned Incurred YTD-6'!C48</f>
        <v>89597.83</v>
      </c>
      <c r="C10" s="105">
        <v>0</v>
      </c>
      <c r="D10" s="105">
        <v>0</v>
      </c>
      <c r="E10" s="105">
        <v>0</v>
      </c>
      <c r="F10" s="108">
        <f>SUM(B10:E10)</f>
        <v>89597.83</v>
      </c>
    </row>
    <row r="11" spans="1:8" s="106" customFormat="1" ht="15" customHeight="1">
      <c r="A11" s="103" t="s">
        <v>78</v>
      </c>
      <c r="B11" s="118">
        <f>'Earned Incurred YTD-6'!D53</f>
        <v>4255</v>
      </c>
      <c r="C11" s="105">
        <v>0</v>
      </c>
      <c r="D11" s="105">
        <v>0</v>
      </c>
      <c r="E11" s="105">
        <v>0</v>
      </c>
      <c r="F11" s="118">
        <f>SUM(B11:E11)</f>
        <v>4255</v>
      </c>
      <c r="H11" s="109"/>
    </row>
    <row r="12" spans="1:6" s="106" customFormat="1" ht="15" customHeight="1" thickBot="1">
      <c r="A12" s="110" t="s">
        <v>79</v>
      </c>
      <c r="B12" s="111">
        <f>SUM(B8:B11)</f>
        <v>10500055.83</v>
      </c>
      <c r="C12" s="111">
        <f>SUM(C8:C11)</f>
        <v>-122754</v>
      </c>
      <c r="D12" s="111">
        <f>SUM(D8:D11)</f>
        <v>-3381</v>
      </c>
      <c r="E12" s="112">
        <f>SUM(E8:E11)</f>
        <v>0</v>
      </c>
      <c r="F12" s="113">
        <f>SUM(F8:F11)</f>
        <v>10373920.83</v>
      </c>
    </row>
    <row r="13" spans="1:6" s="106" customFormat="1" ht="15" customHeight="1" thickTop="1">
      <c r="A13" s="110"/>
      <c r="B13" s="114"/>
      <c r="C13" s="114"/>
      <c r="D13" s="114"/>
      <c r="E13" s="115"/>
      <c r="F13" s="115"/>
    </row>
    <row r="14" spans="1:6" s="106" customFormat="1" ht="15" customHeight="1">
      <c r="A14" s="99" t="s">
        <v>80</v>
      </c>
      <c r="B14" s="101"/>
      <c r="C14" s="101"/>
      <c r="D14" s="101"/>
      <c r="E14" s="116"/>
      <c r="F14" s="115"/>
    </row>
    <row r="15" spans="1:6" s="106" customFormat="1" ht="15" customHeight="1">
      <c r="A15" s="110" t="s">
        <v>81</v>
      </c>
      <c r="B15" s="108">
        <f>'Losses Incurred YTD-10'!B12</f>
        <v>934635</v>
      </c>
      <c r="C15" s="108">
        <f>'Losses Incurred YTD-10'!C12</f>
        <v>2677752</v>
      </c>
      <c r="D15" s="108">
        <f>'Losses Incurred YTD-10'!D12</f>
        <v>359197</v>
      </c>
      <c r="E15" s="105">
        <f>'Losses Incurred YTD-10'!E12</f>
        <v>0</v>
      </c>
      <c r="F15" s="108">
        <f aca="true" t="shared" si="0" ref="F15:F23">SUM(B15:E15)</f>
        <v>3971584</v>
      </c>
    </row>
    <row r="16" spans="1:6" s="106" customFormat="1" ht="15" customHeight="1">
      <c r="A16" s="110" t="s">
        <v>82</v>
      </c>
      <c r="B16" s="108">
        <f>'[1]Loss Expenses Paid YTD-16'!C24</f>
        <v>103801</v>
      </c>
      <c r="C16" s="108">
        <f>'[1]Loss Expenses Paid YTD-16'!C18</f>
        <v>223778</v>
      </c>
      <c r="D16" s="108">
        <f>'[1]Loss Expenses Paid YTD-16'!C12</f>
        <v>211032</v>
      </c>
      <c r="E16" s="105">
        <v>0</v>
      </c>
      <c r="F16" s="108">
        <f t="shared" si="0"/>
        <v>538611</v>
      </c>
    </row>
    <row r="17" spans="1:6" s="106" customFormat="1" ht="15" customHeight="1">
      <c r="A17" s="110" t="s">
        <v>83</v>
      </c>
      <c r="B17" s="108">
        <f>'[1]Loss Expenses Paid YTD-16'!I24</f>
        <v>117527</v>
      </c>
      <c r="C17" s="108">
        <f>'[1]Loss Expenses Paid YTD-16'!I18</f>
        <v>391275</v>
      </c>
      <c r="D17" s="108">
        <f>'[1]Loss Expenses Paid YTD-16'!I12</f>
        <v>42093</v>
      </c>
      <c r="E17" s="105">
        <v>0</v>
      </c>
      <c r="F17" s="108">
        <f t="shared" si="0"/>
        <v>550895</v>
      </c>
    </row>
    <row r="18" spans="1:6" s="106" customFormat="1" ht="15" customHeight="1">
      <c r="A18" s="110" t="s">
        <v>84</v>
      </c>
      <c r="B18" s="108">
        <f>'[1]TB - Rounded'!$J$387</f>
        <v>37783</v>
      </c>
      <c r="C18" s="105">
        <v>0</v>
      </c>
      <c r="D18" s="105">
        <v>0</v>
      </c>
      <c r="E18" s="105">
        <v>0</v>
      </c>
      <c r="F18" s="108">
        <f t="shared" si="0"/>
        <v>37783</v>
      </c>
    </row>
    <row r="19" spans="1:6" s="106" customFormat="1" ht="15" customHeight="1">
      <c r="A19" s="117" t="s">
        <v>85</v>
      </c>
      <c r="B19" s="108">
        <f>'[1]TB - Rounded'!$J$395</f>
        <v>66535</v>
      </c>
      <c r="C19" s="108">
        <f>'[1]TB - Rounded'!$J$391</f>
        <v>104</v>
      </c>
      <c r="D19" s="105">
        <v>0</v>
      </c>
      <c r="E19" s="105">
        <v>0</v>
      </c>
      <c r="F19" s="108">
        <f t="shared" si="0"/>
        <v>66639</v>
      </c>
    </row>
    <row r="20" spans="1:6" s="106" customFormat="1" ht="15" customHeight="1">
      <c r="A20" s="110" t="s">
        <v>86</v>
      </c>
      <c r="B20" s="108">
        <f>'[1]TB - Rounded'!$J$389</f>
        <v>17250</v>
      </c>
      <c r="C20" s="105">
        <v>0</v>
      </c>
      <c r="D20" s="105">
        <v>0</v>
      </c>
      <c r="E20" s="105">
        <v>0</v>
      </c>
      <c r="F20" s="108">
        <f t="shared" si="0"/>
        <v>17250</v>
      </c>
    </row>
    <row r="21" spans="1:6" s="106" customFormat="1" ht="15" customHeight="1">
      <c r="A21" s="117" t="s">
        <v>87</v>
      </c>
      <c r="B21" s="108">
        <f>'[1]TB - Rounded'!$J$382</f>
        <v>878345</v>
      </c>
      <c r="C21" s="118">
        <f>'[1]TB - Rounded'!$J$378</f>
        <v>-10989</v>
      </c>
      <c r="D21" s="118">
        <f>'[1]TB - Rounded'!$J$374</f>
        <v>-338</v>
      </c>
      <c r="E21" s="105">
        <v>0</v>
      </c>
      <c r="F21" s="108">
        <f t="shared" si="0"/>
        <v>867018</v>
      </c>
    </row>
    <row r="22" spans="1:6" s="106" customFormat="1" ht="15" customHeight="1">
      <c r="A22" s="110" t="s">
        <v>88</v>
      </c>
      <c r="B22" s="108">
        <f>'Earned Incurred YTD-6'!C39</f>
        <v>3623438.82</v>
      </c>
      <c r="C22" s="105">
        <v>0</v>
      </c>
      <c r="D22" s="105">
        <v>0</v>
      </c>
      <c r="E22" s="105">
        <v>0</v>
      </c>
      <c r="F22" s="108">
        <f t="shared" si="0"/>
        <v>3623438.82</v>
      </c>
    </row>
    <row r="23" spans="1:6" s="106" customFormat="1" ht="15" customHeight="1">
      <c r="A23" s="110" t="s">
        <v>31</v>
      </c>
      <c r="B23" s="144">
        <f>10088+14066+14066</f>
        <v>38220</v>
      </c>
      <c r="C23" s="144">
        <f>10087-441+1856</f>
        <v>11502</v>
      </c>
      <c r="D23" s="145">
        <v>0</v>
      </c>
      <c r="E23" s="145">
        <v>0</v>
      </c>
      <c r="F23" s="108">
        <f t="shared" si="0"/>
        <v>49722</v>
      </c>
    </row>
    <row r="24" spans="1:7" s="106" customFormat="1" ht="15" customHeight="1" thickBot="1">
      <c r="A24" s="110" t="s">
        <v>79</v>
      </c>
      <c r="B24" s="111">
        <f>SUM(B15:B23)</f>
        <v>5817534.82</v>
      </c>
      <c r="C24" s="111">
        <f>SUM(C15:C23)</f>
        <v>3293422</v>
      </c>
      <c r="D24" s="111">
        <f>SUM(D15:D23)</f>
        <v>611984</v>
      </c>
      <c r="E24" s="112">
        <f>SUM(E15:E23)</f>
        <v>0</v>
      </c>
      <c r="F24" s="113">
        <f>SUM(F15:F23)</f>
        <v>9722940.82</v>
      </c>
      <c r="G24" s="110"/>
    </row>
    <row r="25" spans="1:6" s="106" customFormat="1" ht="15" customHeight="1" thickTop="1">
      <c r="A25" s="110"/>
      <c r="B25" s="114"/>
      <c r="C25" s="114"/>
      <c r="D25" s="114"/>
      <c r="E25" s="115"/>
      <c r="F25" s="115"/>
    </row>
    <row r="26" spans="1:6" s="106" customFormat="1" ht="15" customHeight="1" thickBot="1">
      <c r="A26" s="119" t="s">
        <v>89</v>
      </c>
      <c r="B26" s="120">
        <f>B12-B24</f>
        <v>4682521.01</v>
      </c>
      <c r="C26" s="120">
        <f>C12-C24</f>
        <v>-3416176</v>
      </c>
      <c r="D26" s="120">
        <f>D12-D24</f>
        <v>-615365</v>
      </c>
      <c r="E26" s="112">
        <f>E12-E24</f>
        <v>0</v>
      </c>
      <c r="F26" s="121">
        <f>SUM(B26:E26)</f>
        <v>650980.0099999998</v>
      </c>
    </row>
    <row r="27" spans="1:6" s="106" customFormat="1" ht="15" customHeight="1" thickTop="1">
      <c r="A27" s="110"/>
      <c r="B27" s="114"/>
      <c r="C27" s="114"/>
      <c r="D27" s="114"/>
      <c r="E27" s="115"/>
      <c r="F27" s="115"/>
    </row>
    <row r="28" spans="1:6" s="106" customFormat="1" ht="15" customHeight="1">
      <c r="A28" s="99" t="s">
        <v>90</v>
      </c>
      <c r="B28" s="101"/>
      <c r="C28" s="101"/>
      <c r="D28" s="101"/>
      <c r="E28" s="116"/>
      <c r="F28" s="115"/>
    </row>
    <row r="29" spans="1:6" s="106" customFormat="1" ht="15" customHeight="1">
      <c r="A29" s="110" t="s">
        <v>91</v>
      </c>
      <c r="B29" s="105">
        <v>0</v>
      </c>
      <c r="C29" s="108">
        <f>'Earned Incurred YTD-6'!B50</f>
        <v>11960.83</v>
      </c>
      <c r="D29" s="105">
        <v>0</v>
      </c>
      <c r="E29" s="105">
        <v>0</v>
      </c>
      <c r="F29" s="108">
        <f>SUM(B29:E29)</f>
        <v>11960.83</v>
      </c>
    </row>
    <row r="30" spans="1:6" s="106" customFormat="1" ht="15" customHeight="1">
      <c r="A30" s="110" t="s">
        <v>92</v>
      </c>
      <c r="B30" s="108">
        <f>'Balance Sheet-1'!C16</f>
        <v>216375</v>
      </c>
      <c r="C30" s="105">
        <v>0</v>
      </c>
      <c r="D30" s="105">
        <v>0</v>
      </c>
      <c r="E30" s="105">
        <v>0</v>
      </c>
      <c r="F30" s="108">
        <f>SUM(B30:E30)</f>
        <v>216375</v>
      </c>
    </row>
    <row r="31" spans="1:6" s="106" customFormat="1" ht="15" customHeight="1">
      <c r="A31" s="110" t="s">
        <v>64</v>
      </c>
      <c r="B31" s="108">
        <f>-'Income Statement-2'!D39</f>
        <v>56037</v>
      </c>
      <c r="C31" s="105">
        <v>0</v>
      </c>
      <c r="D31" s="105">
        <v>0</v>
      </c>
      <c r="E31" s="105">
        <v>0</v>
      </c>
      <c r="F31" s="108">
        <f>SUM(B31:E31)</f>
        <v>56037</v>
      </c>
    </row>
    <row r="32" spans="1:6" s="106" customFormat="1" ht="15" customHeight="1" thickBot="1">
      <c r="A32" s="110" t="s">
        <v>79</v>
      </c>
      <c r="B32" s="111">
        <f>SUM(B29:B31)</f>
        <v>272412</v>
      </c>
      <c r="C32" s="111">
        <f>SUM(C29:C31)</f>
        <v>11960.83</v>
      </c>
      <c r="D32" s="112">
        <f>SUM(D29:D31)</f>
        <v>0</v>
      </c>
      <c r="E32" s="112">
        <f>SUM(E29:E31)</f>
        <v>0</v>
      </c>
      <c r="F32" s="113">
        <f>SUM(F29:F31)</f>
        <v>284372.82999999996</v>
      </c>
    </row>
    <row r="33" spans="1:6" s="106" customFormat="1" ht="15" customHeight="1" thickTop="1">
      <c r="A33" s="110"/>
      <c r="B33" s="114"/>
      <c r="C33" s="114"/>
      <c r="D33" s="114"/>
      <c r="E33" s="115"/>
      <c r="F33" s="115"/>
    </row>
    <row r="34" spans="1:6" s="106" customFormat="1" ht="15" customHeight="1">
      <c r="A34" s="99" t="s">
        <v>93</v>
      </c>
      <c r="B34" s="101"/>
      <c r="C34" s="101"/>
      <c r="D34" s="101"/>
      <c r="E34" s="116"/>
      <c r="F34" s="115"/>
    </row>
    <row r="35" spans="1:6" s="106" customFormat="1" ht="15" customHeight="1">
      <c r="A35" s="110" t="s">
        <v>94</v>
      </c>
      <c r="B35" s="108">
        <f>'Earned Incurred YTD-6'!B49</f>
        <v>26130</v>
      </c>
      <c r="C35" s="105">
        <v>0</v>
      </c>
      <c r="D35" s="105">
        <v>0</v>
      </c>
      <c r="E35" s="105">
        <v>0</v>
      </c>
      <c r="F35" s="108">
        <f>SUM(B35:E35)</f>
        <v>26130</v>
      </c>
    </row>
    <row r="36" spans="1:6" s="106" customFormat="1" ht="15" customHeight="1">
      <c r="A36" s="110" t="s">
        <v>95</v>
      </c>
      <c r="B36" s="105">
        <v>0</v>
      </c>
      <c r="C36" s="108">
        <v>322291.39</v>
      </c>
      <c r="D36" s="105">
        <v>0</v>
      </c>
      <c r="E36" s="105">
        <v>0</v>
      </c>
      <c r="F36" s="108">
        <f>SUM(B36:E36)</f>
        <v>322291.39</v>
      </c>
    </row>
    <row r="37" spans="1:6" s="106" customFormat="1" ht="15" customHeight="1" thickBot="1">
      <c r="A37" s="110" t="s">
        <v>79</v>
      </c>
      <c r="B37" s="111">
        <f>SUM(B35:B36)</f>
        <v>26130</v>
      </c>
      <c r="C37" s="111">
        <f>SUM(C35:C36)</f>
        <v>322291.39</v>
      </c>
      <c r="D37" s="122">
        <f>SUM(D35:D36)</f>
        <v>0</v>
      </c>
      <c r="E37" s="122">
        <f>SUM(E35:E36)</f>
        <v>0</v>
      </c>
      <c r="F37" s="113">
        <f>SUM(F35:F36)</f>
        <v>348421.39</v>
      </c>
    </row>
    <row r="38" spans="1:6" s="106" customFormat="1" ht="15" customHeight="1" thickTop="1">
      <c r="A38" s="110"/>
      <c r="B38" s="114"/>
      <c r="C38" s="114"/>
      <c r="D38" s="114"/>
      <c r="E38" s="115"/>
      <c r="F38" s="124"/>
    </row>
    <row r="39" spans="1:15" s="127" customFormat="1" ht="15">
      <c r="A39" s="125" t="s">
        <v>96</v>
      </c>
      <c r="B39" s="126"/>
      <c r="C39" s="126"/>
      <c r="D39" s="126"/>
      <c r="E39" s="126"/>
      <c r="F39" s="126"/>
      <c r="G39" s="146"/>
      <c r="H39" s="146"/>
      <c r="I39" s="146"/>
      <c r="J39" s="146"/>
      <c r="K39" s="146"/>
      <c r="L39" s="146"/>
      <c r="M39" s="146"/>
      <c r="N39" s="146"/>
      <c r="O39" s="146"/>
    </row>
    <row r="40" spans="1:15" s="127" customFormat="1" ht="15">
      <c r="A40" s="127" t="s">
        <v>62</v>
      </c>
      <c r="B40" s="108">
        <f>'Income Statement-2'!D37</f>
        <v>2717611</v>
      </c>
      <c r="C40" s="105">
        <v>0</v>
      </c>
      <c r="D40" s="105">
        <v>0</v>
      </c>
      <c r="E40" s="105">
        <v>0</v>
      </c>
      <c r="F40" s="108">
        <f>SUM(B40:E40)</f>
        <v>2717611</v>
      </c>
      <c r="G40" s="146"/>
      <c r="H40" s="146"/>
      <c r="I40" s="146"/>
      <c r="J40" s="146"/>
      <c r="K40" s="146"/>
      <c r="L40" s="146"/>
      <c r="M40" s="146"/>
      <c r="N40" s="146"/>
      <c r="O40" s="146"/>
    </row>
    <row r="41" spans="1:6" s="127" customFormat="1" ht="15.75" thickBot="1">
      <c r="A41" s="127" t="s">
        <v>79</v>
      </c>
      <c r="B41" s="147">
        <f>SUM(B40:B40)</f>
        <v>2717611</v>
      </c>
      <c r="C41" s="128">
        <f>SUM(C40:C40)</f>
        <v>0</v>
      </c>
      <c r="D41" s="128">
        <f>SUM(D40:D40)</f>
        <v>0</v>
      </c>
      <c r="E41" s="128">
        <f>SUM(E40:E40)</f>
        <v>0</v>
      </c>
      <c r="F41" s="113">
        <f>SUM(F40)</f>
        <v>2717611</v>
      </c>
    </row>
    <row r="42" spans="1:6" s="106" customFormat="1" ht="15" customHeight="1" thickTop="1">
      <c r="A42" s="110"/>
      <c r="B42" s="114"/>
      <c r="C42" s="114"/>
      <c r="D42" s="114"/>
      <c r="E42" s="115"/>
      <c r="F42" s="124"/>
    </row>
    <row r="43" spans="1:6" s="106" customFormat="1" ht="15" customHeight="1" thickBot="1">
      <c r="A43" s="99" t="s">
        <v>97</v>
      </c>
      <c r="B43" s="120">
        <f>B26-B32+B37+B41</f>
        <v>7153850.01</v>
      </c>
      <c r="C43" s="120">
        <f>C26-C32+C37+C41-1</f>
        <v>-3105846.44</v>
      </c>
      <c r="D43" s="120">
        <f>D26-D32+D37+D41</f>
        <v>-615365</v>
      </c>
      <c r="E43" s="128">
        <f>E26-E32+E37+E41</f>
        <v>0</v>
      </c>
      <c r="F43" s="121">
        <f>F26-F32+F37+F41-1</f>
        <v>3432638.57</v>
      </c>
    </row>
    <row r="44" spans="1:6" s="106" customFormat="1" ht="15" customHeight="1" thickTop="1">
      <c r="A44" s="110"/>
      <c r="B44" s="114"/>
      <c r="C44" s="114"/>
      <c r="D44" s="114"/>
      <c r="E44" s="115"/>
      <c r="F44" s="115"/>
    </row>
    <row r="45" spans="1:6" s="106" customFormat="1" ht="15" customHeight="1">
      <c r="A45" s="130" t="s">
        <v>98</v>
      </c>
      <c r="B45" s="131"/>
      <c r="C45" s="131"/>
      <c r="D45" s="131"/>
      <c r="E45" s="115"/>
      <c r="F45" s="115"/>
    </row>
    <row r="46" spans="1:6" s="106" customFormat="1" ht="15" customHeight="1">
      <c r="A46" s="110" t="s">
        <v>25</v>
      </c>
      <c r="B46" s="108">
        <f>'Premiums YTD-8'!B18</f>
        <v>5184614</v>
      </c>
      <c r="C46" s="108">
        <f>'Premiums YTD-8'!C18</f>
        <v>0</v>
      </c>
      <c r="D46" s="105">
        <f>'Premiums YTD-8'!D18</f>
        <v>0</v>
      </c>
      <c r="E46" s="105">
        <f>'Premiums YTD-8'!E18</f>
        <v>0</v>
      </c>
      <c r="F46" s="108">
        <f>SUM(B46:E46)</f>
        <v>5184614</v>
      </c>
    </row>
    <row r="47" spans="1:6" s="106" customFormat="1" ht="15" customHeight="1">
      <c r="A47" s="110" t="s">
        <v>99</v>
      </c>
      <c r="B47" s="108">
        <f>'Losses Incurred YTD-10'!B18+'Losses Incurred YTD-10'!B24</f>
        <v>1518246</v>
      </c>
      <c r="C47" s="108">
        <f>'Losses Incurred YTD-10'!C18+'Losses Incurred YTD-10'!C24</f>
        <v>245907</v>
      </c>
      <c r="D47" s="108">
        <f>'Losses Incurred YTD-10'!D18+'Losses Incurred YTD-10'!D24</f>
        <v>51262</v>
      </c>
      <c r="E47" s="108">
        <f>'Losses Incurred YTD-10'!E18+'Losses Incurred YTD-10'!E24</f>
        <v>0</v>
      </c>
      <c r="F47" s="108">
        <f>SUM(B47:E47)</f>
        <v>1815415</v>
      </c>
    </row>
    <row r="48" spans="1:6" s="106" customFormat="1" ht="15" customHeight="1">
      <c r="A48" s="110" t="s">
        <v>100</v>
      </c>
      <c r="B48" s="108">
        <f>'Loss Expenses YTD-12'!B18</f>
        <v>299999</v>
      </c>
      <c r="C48" s="108">
        <f>'Loss Expenses YTD-12'!C18</f>
        <v>77486</v>
      </c>
      <c r="D48" s="108">
        <f>'Loss Expenses YTD-12'!D18</f>
        <v>28796</v>
      </c>
      <c r="E48" s="105">
        <f>'Loss Expenses YTD-12'!E18</f>
        <v>0</v>
      </c>
      <c r="F48" s="108">
        <f>SUM(B48:E48)</f>
        <v>406281</v>
      </c>
    </row>
    <row r="49" spans="1:6" s="106" customFormat="1" ht="15" customHeight="1">
      <c r="A49" s="110" t="s">
        <v>101</v>
      </c>
      <c r="B49" s="108">
        <f>'Earned Incurred YTD-6'!B41</f>
        <v>224460</v>
      </c>
      <c r="C49" s="105">
        <v>0</v>
      </c>
      <c r="D49" s="105">
        <v>0</v>
      </c>
      <c r="E49" s="105">
        <v>0</v>
      </c>
      <c r="F49" s="108">
        <f>SUM(B49:E49)</f>
        <v>224460</v>
      </c>
    </row>
    <row r="50" spans="1:6" s="106" customFormat="1" ht="15" customHeight="1">
      <c r="A50" s="110" t="s">
        <v>102</v>
      </c>
      <c r="B50" s="108">
        <f>'Earned Incurred YTD-6'!B33</f>
        <v>37509</v>
      </c>
      <c r="C50" s="105">
        <v>0</v>
      </c>
      <c r="D50" s="105">
        <v>0</v>
      </c>
      <c r="E50" s="105">
        <v>0</v>
      </c>
      <c r="F50" s="108">
        <f>SUM(B50:E50)</f>
        <v>37509</v>
      </c>
    </row>
    <row r="51" spans="1:6" s="106" customFormat="1" ht="15" customHeight="1" thickBot="1">
      <c r="A51" s="132" t="s">
        <v>79</v>
      </c>
      <c r="B51" s="111">
        <f>SUM(B46:B50)</f>
        <v>7264828</v>
      </c>
      <c r="C51" s="111">
        <f>SUM(C46:C50)</f>
        <v>323393</v>
      </c>
      <c r="D51" s="111">
        <f>SUM(D46:D50)</f>
        <v>80058</v>
      </c>
      <c r="E51" s="112">
        <f>SUM(E46:E50)</f>
        <v>0</v>
      </c>
      <c r="F51" s="113">
        <f>SUM(F46:F50)</f>
        <v>7668279</v>
      </c>
    </row>
    <row r="52" spans="1:6" s="106" customFormat="1" ht="15" customHeight="1" thickTop="1">
      <c r="A52" s="110"/>
      <c r="B52" s="114"/>
      <c r="C52" s="114"/>
      <c r="D52" s="114"/>
      <c r="E52" s="115"/>
      <c r="F52" s="115"/>
    </row>
    <row r="53" spans="1:6" s="106" customFormat="1" ht="15" customHeight="1">
      <c r="A53" s="130" t="s">
        <v>103</v>
      </c>
      <c r="B53" s="131"/>
      <c r="C53" s="131"/>
      <c r="D53" s="131"/>
      <c r="E53" s="115"/>
      <c r="F53" s="115"/>
    </row>
    <row r="54" spans="1:6" s="106" customFormat="1" ht="15" customHeight="1">
      <c r="A54" s="110" t="s">
        <v>25</v>
      </c>
      <c r="B54" s="105">
        <f>'Premiums YTD-8'!B24</f>
        <v>0</v>
      </c>
      <c r="C54" s="108">
        <f>'Premiums YTD-8'!C24</f>
        <v>5419228.58</v>
      </c>
      <c r="D54" s="105">
        <f>'Premiums YTD-8'!D24</f>
        <v>0</v>
      </c>
      <c r="E54" s="105">
        <f>'Premiums YTD-8'!E24</f>
        <v>0</v>
      </c>
      <c r="F54" s="108">
        <f>SUM(B54:E54)</f>
        <v>5419228.58</v>
      </c>
    </row>
    <row r="55" spans="1:6" s="106" customFormat="1" ht="15" customHeight="1">
      <c r="A55" s="110" t="s">
        <v>99</v>
      </c>
      <c r="B55" s="105">
        <f>'Losses Incurred YTD-10'!B31</f>
        <v>0</v>
      </c>
      <c r="C55" s="108">
        <f>'Losses Incurred YTD-10'!C31</f>
        <v>1534755.84</v>
      </c>
      <c r="D55" s="108">
        <f>'Losses Incurred YTD-10'!D31</f>
        <v>227018.66999999998</v>
      </c>
      <c r="E55" s="108">
        <f>'Losses Incurred YTD-10'!E31</f>
        <v>105361.78</v>
      </c>
      <c r="F55" s="108">
        <f>SUM(B55:E55)+1</f>
        <v>1867137.29</v>
      </c>
    </row>
    <row r="56" spans="1:6" s="106" customFormat="1" ht="15" customHeight="1">
      <c r="A56" s="110" t="s">
        <v>104</v>
      </c>
      <c r="B56" s="105">
        <f>'Loss Expenses YTD-12'!B24</f>
        <v>0</v>
      </c>
      <c r="C56" s="108">
        <f>'Loss Expenses YTD-12'!C24</f>
        <v>296046.24</v>
      </c>
      <c r="D56" s="108">
        <f>'Loss Expenses YTD-12'!D24</f>
        <v>71752.04000000001</v>
      </c>
      <c r="E56" s="108">
        <f>'Loss Expenses YTD-12'!E24</f>
        <v>23647.760000000002</v>
      </c>
      <c r="F56" s="108">
        <f>SUM(B56:E56)</f>
        <v>391446.04000000004</v>
      </c>
    </row>
    <row r="57" spans="1:6" s="106" customFormat="1" ht="15" customHeight="1">
      <c r="A57" s="110" t="s">
        <v>101</v>
      </c>
      <c r="B57" s="105">
        <v>0</v>
      </c>
      <c r="C57" s="108">
        <f>'Earned Incurred YTD-6'!B42</f>
        <v>201852.82</v>
      </c>
      <c r="D57" s="105">
        <v>0</v>
      </c>
      <c r="E57" s="105">
        <v>0</v>
      </c>
      <c r="F57" s="108">
        <f>SUM(B57:E57)</f>
        <v>201852.82</v>
      </c>
    </row>
    <row r="58" spans="1:6" s="106" customFormat="1" ht="15" customHeight="1">
      <c r="A58" s="110" t="s">
        <v>102</v>
      </c>
      <c r="B58" s="105">
        <v>0</v>
      </c>
      <c r="C58" s="108">
        <f>'Earned Incurred YTD-6'!B34</f>
        <v>38430.490000000005</v>
      </c>
      <c r="D58" s="105">
        <v>0</v>
      </c>
      <c r="E58" s="105">
        <v>0</v>
      </c>
      <c r="F58" s="108">
        <f>SUM(B58:E58)</f>
        <v>38430.490000000005</v>
      </c>
    </row>
    <row r="59" spans="1:6" s="106" customFormat="1" ht="15" customHeight="1" thickBot="1">
      <c r="A59" s="110" t="s">
        <v>79</v>
      </c>
      <c r="B59" s="112">
        <f>SUM(B54:B58)</f>
        <v>0</v>
      </c>
      <c r="C59" s="111">
        <f>SUM(C54:C58)</f>
        <v>7490313.970000001</v>
      </c>
      <c r="D59" s="111">
        <f>SUM(D54:D58)</f>
        <v>298770.70999999996</v>
      </c>
      <c r="E59" s="111">
        <f>SUM(E54:E58)</f>
        <v>129009.54000000001</v>
      </c>
      <c r="F59" s="113">
        <f>SUM(F54:F58)</f>
        <v>7918095.220000001</v>
      </c>
    </row>
    <row r="60" spans="1:6" s="106" customFormat="1" ht="15" customHeight="1" thickTop="1">
      <c r="A60" s="110"/>
      <c r="B60" s="114"/>
      <c r="C60" s="114"/>
      <c r="D60" s="114"/>
      <c r="E60" s="114"/>
      <c r="F60" s="25"/>
    </row>
    <row r="61" spans="1:6" s="106" customFormat="1" ht="15" customHeight="1" thickBot="1">
      <c r="A61" s="119" t="s">
        <v>105</v>
      </c>
      <c r="B61" s="133">
        <f>B43-B51+B59</f>
        <v>-110977.99000000022</v>
      </c>
      <c r="C61" s="133">
        <f>C43-C51+C59</f>
        <v>4061074.5300000007</v>
      </c>
      <c r="D61" s="133">
        <f>D43-D51+D59</f>
        <v>-396652.29000000004</v>
      </c>
      <c r="E61" s="133">
        <f>E43-E51+E59</f>
        <v>129009.54000000001</v>
      </c>
      <c r="F61" s="133">
        <f>F43-F51+F59</f>
        <v>3682454.790000001</v>
      </c>
    </row>
    <row r="62" spans="1:6" s="106" customFormat="1" ht="15" customHeight="1" thickTop="1">
      <c r="A62" s="110"/>
      <c r="D62" s="114"/>
      <c r="E62" s="114"/>
      <c r="F62" s="108"/>
    </row>
    <row r="63" spans="4:6" s="106" customFormat="1" ht="15" customHeight="1">
      <c r="D63" s="114"/>
      <c r="E63" s="114"/>
      <c r="F63" s="135"/>
    </row>
    <row r="64" spans="4:6" s="106" customFormat="1" ht="15" customHeight="1">
      <c r="D64" s="114"/>
      <c r="E64" s="114"/>
      <c r="F64" s="114"/>
    </row>
    <row r="65" spans="4:6" s="106" customFormat="1" ht="15" customHeight="1">
      <c r="D65" s="114"/>
      <c r="E65" s="114"/>
      <c r="F65" s="114"/>
    </row>
    <row r="66" spans="1:6" s="106" customFormat="1" ht="15" customHeight="1">
      <c r="A66" s="102"/>
      <c r="B66" s="102"/>
      <c r="C66" s="102"/>
      <c r="D66" s="114"/>
      <c r="E66" s="114"/>
      <c r="F66" s="114"/>
    </row>
    <row r="67" spans="4:6" s="106" customFormat="1" ht="15" customHeight="1">
      <c r="D67" s="114"/>
      <c r="E67" s="114"/>
      <c r="F67" s="25"/>
    </row>
    <row r="68" spans="4:6" s="106" customFormat="1" ht="15" customHeight="1">
      <c r="D68" s="114"/>
      <c r="E68" s="114"/>
      <c r="F68" s="25"/>
    </row>
    <row r="69" spans="4:6" s="106" customFormat="1" ht="15" customHeight="1">
      <c r="D69" s="114"/>
      <c r="E69" s="114"/>
      <c r="F69" s="25"/>
    </row>
    <row r="70" spans="4:6" s="106" customFormat="1" ht="15" customHeight="1">
      <c r="D70" s="114"/>
      <c r="E70" s="114"/>
      <c r="F70" s="25"/>
    </row>
    <row r="71" spans="4:6" s="106" customFormat="1" ht="15" customHeight="1">
      <c r="D71" s="114"/>
      <c r="E71" s="114"/>
      <c r="F71" s="25"/>
    </row>
    <row r="72" spans="4:6" s="106" customFormat="1" ht="15" customHeight="1">
      <c r="D72" s="114"/>
      <c r="E72" s="114"/>
      <c r="F72" s="25"/>
    </row>
    <row r="73" spans="4:6" s="106" customFormat="1" ht="15" customHeight="1">
      <c r="D73" s="114"/>
      <c r="E73" s="114"/>
      <c r="F73" s="25"/>
    </row>
    <row r="74" spans="4:6" s="106" customFormat="1" ht="15" customHeight="1">
      <c r="D74" s="114"/>
      <c r="E74" s="114"/>
      <c r="F74" s="25"/>
    </row>
    <row r="75" spans="4:6" s="106" customFormat="1" ht="15" customHeight="1">
      <c r="D75" s="114"/>
      <c r="E75" s="114"/>
      <c r="F75" s="25"/>
    </row>
    <row r="76" spans="4:6" s="106" customFormat="1" ht="15" customHeight="1">
      <c r="D76" s="114"/>
      <c r="E76" s="114"/>
      <c r="F76" s="25"/>
    </row>
    <row r="77" spans="4:6" s="106" customFormat="1" ht="15" customHeight="1">
      <c r="D77" s="114"/>
      <c r="E77" s="114"/>
      <c r="F77" s="25"/>
    </row>
    <row r="78" spans="4:6" s="106" customFormat="1" ht="15" customHeight="1">
      <c r="D78" s="114"/>
      <c r="E78" s="114"/>
      <c r="F78" s="25"/>
    </row>
    <row r="79" spans="4:6" s="106" customFormat="1" ht="15" customHeight="1">
      <c r="D79" s="114"/>
      <c r="E79" s="114"/>
      <c r="F79" s="25"/>
    </row>
    <row r="80" spans="4:6" s="106" customFormat="1" ht="15" customHeight="1">
      <c r="D80" s="114"/>
      <c r="E80" s="114"/>
      <c r="F80" s="25"/>
    </row>
    <row r="81" spans="4:6" s="106" customFormat="1" ht="15" customHeight="1">
      <c r="D81" s="114"/>
      <c r="E81" s="114"/>
      <c r="F81" s="25"/>
    </row>
    <row r="82" spans="4:6" s="106" customFormat="1" ht="15" customHeight="1">
      <c r="D82" s="114"/>
      <c r="E82" s="114"/>
      <c r="F82" s="25"/>
    </row>
    <row r="83" spans="4:6" s="106" customFormat="1" ht="15" customHeight="1">
      <c r="D83" s="114"/>
      <c r="E83" s="114"/>
      <c r="F83" s="25"/>
    </row>
    <row r="84" spans="4:6" s="106" customFormat="1" ht="15" customHeight="1">
      <c r="D84" s="114"/>
      <c r="E84" s="114"/>
      <c r="F84" s="25"/>
    </row>
    <row r="85" spans="4:6" s="106" customFormat="1" ht="15" customHeight="1">
      <c r="D85" s="114"/>
      <c r="E85" s="114"/>
      <c r="F85" s="25"/>
    </row>
    <row r="86" spans="4:6" s="106" customFormat="1" ht="15" customHeight="1">
      <c r="D86" s="114"/>
      <c r="E86" s="114"/>
      <c r="F86" s="25"/>
    </row>
    <row r="87" spans="4:6" s="106" customFormat="1" ht="15" customHeight="1">
      <c r="D87" s="114"/>
      <c r="E87" s="114"/>
      <c r="F87" s="25"/>
    </row>
    <row r="88" spans="4:6" s="106" customFormat="1" ht="15" customHeight="1">
      <c r="D88" s="114"/>
      <c r="E88" s="114"/>
      <c r="F88" s="25"/>
    </row>
    <row r="89" spans="4:6" s="106" customFormat="1" ht="15" customHeight="1">
      <c r="D89" s="114"/>
      <c r="E89" s="114"/>
      <c r="F89" s="25"/>
    </row>
    <row r="90" spans="4:6" s="106" customFormat="1" ht="15" customHeight="1">
      <c r="D90" s="114"/>
      <c r="E90" s="114"/>
      <c r="F90" s="25"/>
    </row>
    <row r="91" spans="4:6" s="106" customFormat="1" ht="15" customHeight="1">
      <c r="D91" s="114"/>
      <c r="E91" s="114"/>
      <c r="F91" s="25"/>
    </row>
    <row r="92" spans="4:6" s="106" customFormat="1" ht="15" customHeight="1">
      <c r="D92" s="114"/>
      <c r="E92" s="114"/>
      <c r="F92" s="25"/>
    </row>
    <row r="93" spans="4:6" s="106" customFormat="1" ht="15" customHeight="1">
      <c r="D93" s="114"/>
      <c r="E93" s="114"/>
      <c r="F93" s="25"/>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F161"/>
  <sheetViews>
    <sheetView zoomScalePageLayoutView="0" workbookViewId="0" topLeftCell="A1">
      <selection activeCell="D59" sqref="D59"/>
    </sheetView>
  </sheetViews>
  <sheetFormatPr defaultColWidth="15.7109375" defaultRowHeight="15" customHeight="1"/>
  <cols>
    <col min="1" max="1" width="60.7109375" style="49" customWidth="1"/>
    <col min="2" max="4" width="18.7109375" style="199" customWidth="1"/>
    <col min="5" max="5" width="15.7109375" style="200" customWidth="1"/>
    <col min="6" max="16384" width="15.7109375" style="49" customWidth="1"/>
  </cols>
  <sheetData>
    <row r="1" spans="1:5" s="149" customFormat="1" ht="30" customHeight="1">
      <c r="A1" s="334" t="s">
        <v>0</v>
      </c>
      <c r="B1" s="335"/>
      <c r="C1" s="335"/>
      <c r="D1" s="336"/>
      <c r="E1" s="148"/>
    </row>
    <row r="2" spans="1:5" s="151" customFormat="1" ht="15" customHeight="1">
      <c r="A2" s="337"/>
      <c r="B2" s="338"/>
      <c r="C2" s="338"/>
      <c r="D2" s="339"/>
      <c r="E2" s="150"/>
    </row>
    <row r="3" spans="1:5" s="151" customFormat="1" ht="15" customHeight="1">
      <c r="A3" s="340" t="s">
        <v>107</v>
      </c>
      <c r="B3" s="341"/>
      <c r="C3" s="341"/>
      <c r="D3" s="342"/>
      <c r="E3" s="150"/>
    </row>
    <row r="4" spans="1:5" s="151" customFormat="1" ht="15" customHeight="1">
      <c r="A4" s="340" t="s">
        <v>108</v>
      </c>
      <c r="B4" s="341"/>
      <c r="C4" s="341"/>
      <c r="D4" s="342"/>
      <c r="E4" s="150"/>
    </row>
    <row r="5" spans="1:5" s="151" customFormat="1" ht="15" customHeight="1">
      <c r="A5" s="340" t="s">
        <v>109</v>
      </c>
      <c r="B5" s="341"/>
      <c r="C5" s="341"/>
      <c r="D5" s="342"/>
      <c r="E5" s="150"/>
    </row>
    <row r="6" spans="1:5" s="151" customFormat="1" ht="15" customHeight="1">
      <c r="A6" s="152"/>
      <c r="B6" s="153"/>
      <c r="C6" s="153"/>
      <c r="D6" s="154"/>
      <c r="E6" s="150"/>
    </row>
    <row r="7" spans="1:5" s="55" customFormat="1" ht="15" customHeight="1">
      <c r="A7" s="155"/>
      <c r="B7" s="153"/>
      <c r="C7" s="153"/>
      <c r="D7" s="154"/>
      <c r="E7" s="79"/>
    </row>
    <row r="8" spans="1:5" s="55" customFormat="1" ht="15" customHeight="1">
      <c r="A8" s="156" t="s">
        <v>110</v>
      </c>
      <c r="B8" s="157" t="s">
        <v>111</v>
      </c>
      <c r="C8" s="158"/>
      <c r="D8" s="159"/>
      <c r="E8" s="79"/>
    </row>
    <row r="9" spans="1:5" s="55" customFormat="1" ht="15" customHeight="1">
      <c r="A9" s="156"/>
      <c r="B9" s="160" t="s">
        <v>39</v>
      </c>
      <c r="C9" s="161"/>
      <c r="D9" s="162"/>
      <c r="E9" s="79"/>
    </row>
    <row r="10" spans="1:5" s="55" customFormat="1" ht="15" customHeight="1">
      <c r="A10" s="163"/>
      <c r="B10" s="164" t="s">
        <v>112</v>
      </c>
      <c r="C10" s="165"/>
      <c r="D10" s="166"/>
      <c r="E10" s="79"/>
    </row>
    <row r="11" spans="1:5" s="55" customFormat="1" ht="15" customHeight="1">
      <c r="A11" s="167" t="s">
        <v>113</v>
      </c>
      <c r="B11" s="168"/>
      <c r="C11" s="21">
        <f>'Premiums QTD-7'!F12</f>
        <v>2458670</v>
      </c>
      <c r="D11" s="166"/>
      <c r="E11" s="79"/>
    </row>
    <row r="12" spans="1:5" s="55" customFormat="1" ht="15" customHeight="1">
      <c r="A12" s="167"/>
      <c r="B12" s="168"/>
      <c r="C12" s="25"/>
      <c r="D12" s="166"/>
      <c r="E12" s="79"/>
    </row>
    <row r="13" spans="1:5" s="55" customFormat="1" ht="15" customHeight="1">
      <c r="A13" s="169" t="s">
        <v>114</v>
      </c>
      <c r="B13" s="170">
        <f>'Premiums QTD-7'!F18</f>
        <v>5184614</v>
      </c>
      <c r="C13" s="171"/>
      <c r="D13" s="166"/>
      <c r="E13" s="79"/>
    </row>
    <row r="14" spans="1:5" s="55" customFormat="1" ht="15" customHeight="1">
      <c r="A14" s="169" t="s">
        <v>115</v>
      </c>
      <c r="B14" s="172">
        <f>'Premiums QTD-7'!F24</f>
        <v>5322054</v>
      </c>
      <c r="C14" s="171"/>
      <c r="D14" s="166"/>
      <c r="E14" s="79"/>
    </row>
    <row r="15" spans="1:5" s="55" customFormat="1" ht="15" customHeight="1">
      <c r="A15" s="169" t="s">
        <v>116</v>
      </c>
      <c r="B15" s="168"/>
      <c r="C15" s="173">
        <f>B14-B13</f>
        <v>137440</v>
      </c>
      <c r="D15" s="166"/>
      <c r="E15" s="79"/>
    </row>
    <row r="16" spans="1:5" s="55" customFormat="1" ht="15" customHeight="1">
      <c r="A16" s="167" t="s">
        <v>117</v>
      </c>
      <c r="B16" s="168"/>
      <c r="C16" s="171"/>
      <c r="D16" s="174">
        <f>C11+C15</f>
        <v>2596110</v>
      </c>
      <c r="E16" s="79"/>
    </row>
    <row r="17" spans="1:4" s="55" customFormat="1" ht="15" customHeight="1">
      <c r="A17" s="169" t="s">
        <v>118</v>
      </c>
      <c r="B17" s="168"/>
      <c r="C17" s="144">
        <f>'[1]Loss Expenses Paid QTD-15'!E30</f>
        <v>1205201</v>
      </c>
      <c r="D17" s="166"/>
    </row>
    <row r="18" spans="1:4" s="55" customFormat="1" ht="15" customHeight="1">
      <c r="A18" s="169" t="s">
        <v>119</v>
      </c>
      <c r="B18" s="168"/>
      <c r="C18" s="173">
        <f>-'[1]TB - Rounded'!$H$291</f>
        <v>780</v>
      </c>
      <c r="D18" s="166"/>
    </row>
    <row r="19" spans="1:5" s="55" customFormat="1" ht="15" customHeight="1">
      <c r="A19" s="167" t="s">
        <v>120</v>
      </c>
      <c r="B19" s="168"/>
      <c r="C19" s="144">
        <f>C17-C18</f>
        <v>1204421</v>
      </c>
      <c r="D19" s="166"/>
      <c r="E19" s="79"/>
    </row>
    <row r="20" spans="1:5" s="55" customFormat="1" ht="15" customHeight="1">
      <c r="A20" s="169" t="s">
        <v>121</v>
      </c>
      <c r="B20" s="170">
        <f>'Losses Incurred QTD-9'!F18+'Losses Incurred QTD-9'!F24</f>
        <v>1815415</v>
      </c>
      <c r="C20" s="171" t="s">
        <v>112</v>
      </c>
      <c r="D20" s="166"/>
      <c r="E20" s="79"/>
    </row>
    <row r="21" spans="1:5" s="55" customFormat="1" ht="15" customHeight="1">
      <c r="A21" s="169" t="s">
        <v>122</v>
      </c>
      <c r="B21" s="172">
        <f>'Losses Incurred QTD-9'!F31</f>
        <v>2047357</v>
      </c>
      <c r="C21" s="171"/>
      <c r="D21" s="166"/>
      <c r="E21" s="79"/>
    </row>
    <row r="22" spans="1:5" s="55" customFormat="1" ht="15" customHeight="1">
      <c r="A22" s="169" t="s">
        <v>123</v>
      </c>
      <c r="B22" s="175"/>
      <c r="C22" s="176">
        <f>B20-B21</f>
        <v>-231942</v>
      </c>
      <c r="D22" s="166"/>
      <c r="E22" s="79"/>
    </row>
    <row r="23" spans="1:5" s="55" customFormat="1" ht="15" customHeight="1">
      <c r="A23" s="167" t="s">
        <v>124</v>
      </c>
      <c r="B23" s="168"/>
      <c r="C23" s="171"/>
      <c r="D23" s="177">
        <f>C19+C22</f>
        <v>972479</v>
      </c>
      <c r="E23" s="171"/>
    </row>
    <row r="24" spans="1:5" s="55" customFormat="1" ht="15" customHeight="1">
      <c r="A24" s="169" t="s">
        <v>125</v>
      </c>
      <c r="B24" s="168"/>
      <c r="C24" s="144">
        <f>'[1]Loss Expenses Paid QTD-15'!C30</f>
        <v>143104</v>
      </c>
      <c r="D24" s="166"/>
      <c r="E24" s="178"/>
    </row>
    <row r="25" spans="1:5" s="55" customFormat="1" ht="15" customHeight="1">
      <c r="A25" s="169" t="s">
        <v>126</v>
      </c>
      <c r="B25" s="168"/>
      <c r="C25" s="173">
        <f>'[1]Loss Expenses Paid QTD-15'!I30</f>
        <v>91956</v>
      </c>
      <c r="D25" s="166"/>
      <c r="E25" s="178"/>
    </row>
    <row r="26" spans="1:5" s="55" customFormat="1" ht="15" customHeight="1">
      <c r="A26" s="167" t="s">
        <v>127</v>
      </c>
      <c r="B26" s="168"/>
      <c r="C26" s="144">
        <f>C24+C25</f>
        <v>235060</v>
      </c>
      <c r="D26" s="166"/>
      <c r="E26" s="171"/>
    </row>
    <row r="27" spans="1:5" s="55" customFormat="1" ht="15" customHeight="1">
      <c r="A27" s="169" t="s">
        <v>128</v>
      </c>
      <c r="B27" s="170">
        <f>'Loss Expenses QTD-11'!F18</f>
        <v>406281</v>
      </c>
      <c r="C27" s="171"/>
      <c r="D27" s="166"/>
      <c r="E27" s="178"/>
    </row>
    <row r="28" spans="1:5" s="55" customFormat="1" ht="15" customHeight="1">
      <c r="A28" s="169" t="s">
        <v>129</v>
      </c>
      <c r="B28" s="172">
        <f>'Loss Expenses QTD-11'!F24</f>
        <v>384165</v>
      </c>
      <c r="C28" s="171"/>
      <c r="D28" s="166"/>
      <c r="E28" s="171"/>
    </row>
    <row r="29" spans="1:5" s="55" customFormat="1" ht="15" customHeight="1">
      <c r="A29" s="169" t="s">
        <v>130</v>
      </c>
      <c r="B29" s="168"/>
      <c r="C29" s="176">
        <f>B27-B28</f>
        <v>22116</v>
      </c>
      <c r="D29" s="166"/>
      <c r="E29" s="178"/>
    </row>
    <row r="30" spans="1:5" s="55" customFormat="1" ht="15" customHeight="1">
      <c r="A30" s="167" t="s">
        <v>131</v>
      </c>
      <c r="B30" s="168"/>
      <c r="C30" s="171"/>
      <c r="D30" s="179">
        <f>C26+C29</f>
        <v>257176</v>
      </c>
      <c r="E30" s="171"/>
    </row>
    <row r="31" spans="1:5" s="55" customFormat="1" ht="15" customHeight="1">
      <c r="A31" s="167" t="s">
        <v>132</v>
      </c>
      <c r="B31" s="168"/>
      <c r="C31" s="171"/>
      <c r="D31" s="180">
        <f>D23+D30</f>
        <v>1229655</v>
      </c>
      <c r="E31" s="171"/>
    </row>
    <row r="32" spans="1:5" s="55" customFormat="1" ht="15" customHeight="1">
      <c r="A32" s="169" t="s">
        <v>133</v>
      </c>
      <c r="B32" s="168"/>
      <c r="C32" s="144">
        <v>1856</v>
      </c>
      <c r="D32" s="166"/>
      <c r="E32" s="178"/>
    </row>
    <row r="33" spans="1:5" s="55" customFormat="1" ht="15" customHeight="1">
      <c r="A33" s="169" t="s">
        <v>134</v>
      </c>
      <c r="B33" s="170">
        <f>'Earned Incurred YTD-6'!B33</f>
        <v>37509</v>
      </c>
      <c r="C33" s="171"/>
      <c r="D33" s="166"/>
      <c r="E33" s="79"/>
    </row>
    <row r="34" spans="1:5" s="55" customFormat="1" ht="15" customHeight="1">
      <c r="A34" s="169" t="s">
        <v>135</v>
      </c>
      <c r="B34" s="172">
        <v>25603</v>
      </c>
      <c r="C34" s="171"/>
      <c r="D34" s="166"/>
      <c r="E34" s="79"/>
    </row>
    <row r="35" spans="1:5" s="55" customFormat="1" ht="15" customHeight="1">
      <c r="A35" s="169" t="s">
        <v>136</v>
      </c>
      <c r="B35" s="168"/>
      <c r="C35" s="176">
        <f>B33-B34</f>
        <v>11906</v>
      </c>
      <c r="D35" s="166"/>
      <c r="E35" s="79"/>
    </row>
    <row r="36" spans="1:5" s="55" customFormat="1" ht="15" customHeight="1">
      <c r="A36" s="167" t="s">
        <v>137</v>
      </c>
      <c r="B36" s="168"/>
      <c r="C36" s="171" t="s">
        <v>112</v>
      </c>
      <c r="D36" s="177">
        <f>C32+C35</f>
        <v>13762</v>
      </c>
      <c r="E36" s="79"/>
    </row>
    <row r="37" spans="1:5" s="55" customFormat="1" ht="15" customHeight="1">
      <c r="A37" s="169" t="s">
        <v>138</v>
      </c>
      <c r="B37" s="168"/>
      <c r="C37" s="144">
        <f>'[1]TB - Rounded'!$H$384</f>
        <v>207696</v>
      </c>
      <c r="D37" s="166"/>
      <c r="E37" s="79"/>
    </row>
    <row r="38" spans="1:5" s="55" customFormat="1" ht="15" customHeight="1">
      <c r="A38" s="169" t="s">
        <v>139</v>
      </c>
      <c r="B38" s="168"/>
      <c r="C38" s="144">
        <f>'[1]TB - Rounded'!$H$399</f>
        <v>20400</v>
      </c>
      <c r="D38" s="166"/>
      <c r="E38" s="181"/>
    </row>
    <row r="39" spans="1:6" s="55" customFormat="1" ht="15" customHeight="1">
      <c r="A39" s="169" t="s">
        <v>140</v>
      </c>
      <c r="B39" s="168"/>
      <c r="C39" s="173">
        <f>'[1]TB - Rounded'!$H$625-C43-10</f>
        <v>690100</v>
      </c>
      <c r="D39" s="166"/>
      <c r="E39" s="181"/>
      <c r="F39" s="79"/>
    </row>
    <row r="40" spans="1:6" s="55" customFormat="1" ht="15" customHeight="1">
      <c r="A40" s="167" t="s">
        <v>141</v>
      </c>
      <c r="B40" s="168"/>
      <c r="C40" s="144">
        <f>SUM(C37:C39)</f>
        <v>918196</v>
      </c>
      <c r="D40" s="166"/>
      <c r="E40" s="181"/>
      <c r="F40" s="79"/>
    </row>
    <row r="41" spans="1:5" s="55" customFormat="1" ht="15" customHeight="1">
      <c r="A41" s="169" t="s">
        <v>134</v>
      </c>
      <c r="B41" s="170">
        <f>'Earned Incurred YTD-6'!B41</f>
        <v>224460</v>
      </c>
      <c r="C41" s="171"/>
      <c r="D41" s="166"/>
      <c r="E41" s="181"/>
    </row>
    <row r="42" spans="1:5" s="55" customFormat="1" ht="15" customHeight="1">
      <c r="A42" s="169" t="s">
        <v>135</v>
      </c>
      <c r="B42" s="172">
        <v>189102</v>
      </c>
      <c r="C42" s="171" t="s">
        <v>112</v>
      </c>
      <c r="D42" s="166"/>
      <c r="E42" s="79"/>
    </row>
    <row r="43" spans="1:5" s="55" customFormat="1" ht="15" customHeight="1">
      <c r="A43" s="169" t="s">
        <v>142</v>
      </c>
      <c r="B43" s="168"/>
      <c r="C43" s="176">
        <f>+B41-B42</f>
        <v>35358</v>
      </c>
      <c r="D43" s="166"/>
      <c r="E43" s="79"/>
    </row>
    <row r="44" spans="1:6" s="55" customFormat="1" ht="15" customHeight="1">
      <c r="A44" s="167" t="s">
        <v>143</v>
      </c>
      <c r="B44" s="168"/>
      <c r="C44" s="171"/>
      <c r="D44" s="179">
        <f>SUM(C40:C43)</f>
        <v>953554</v>
      </c>
      <c r="E44" s="79"/>
      <c r="F44" s="79"/>
    </row>
    <row r="45" spans="1:6" s="55" customFormat="1" ht="15" customHeight="1">
      <c r="A45" s="167" t="s">
        <v>144</v>
      </c>
      <c r="B45" s="168"/>
      <c r="C45" s="171"/>
      <c r="D45" s="179">
        <f>SUM(D36:D44)</f>
        <v>967316</v>
      </c>
      <c r="E45" s="79"/>
      <c r="F45" s="182"/>
    </row>
    <row r="46" spans="1:6" s="55" customFormat="1" ht="15" customHeight="1">
      <c r="A46" s="167" t="s">
        <v>145</v>
      </c>
      <c r="B46" s="168"/>
      <c r="C46" s="171"/>
      <c r="D46" s="183">
        <f>+D31+D45</f>
        <v>2196971</v>
      </c>
      <c r="E46" s="79"/>
      <c r="F46" s="182"/>
    </row>
    <row r="47" spans="1:6" s="55" customFormat="1" ht="15" customHeight="1">
      <c r="A47" s="167" t="s">
        <v>146</v>
      </c>
      <c r="B47" s="168"/>
      <c r="C47" s="171"/>
      <c r="D47" s="180">
        <f>D16-D31-D45</f>
        <v>399139</v>
      </c>
      <c r="E47" s="184"/>
      <c r="F47" s="79"/>
    </row>
    <row r="48" spans="1:4" s="55" customFormat="1" ht="15" customHeight="1">
      <c r="A48" s="169" t="s">
        <v>147</v>
      </c>
      <c r="B48" s="168"/>
      <c r="C48" s="144">
        <f>-'[1]TB - Rounded'!$H$261-C51</f>
        <v>37502</v>
      </c>
      <c r="D48" s="166"/>
    </row>
    <row r="49" spans="1:5" s="55" customFormat="1" ht="15" customHeight="1">
      <c r="A49" s="169" t="s">
        <v>148</v>
      </c>
      <c r="B49" s="170">
        <f>'Earned Incurred YTD-6'!B49</f>
        <v>26130</v>
      </c>
      <c r="C49" s="171"/>
      <c r="D49" s="166"/>
      <c r="E49" s="79"/>
    </row>
    <row r="50" spans="1:5" s="55" customFormat="1" ht="15" customHeight="1">
      <c r="A50" s="169" t="s">
        <v>149</v>
      </c>
      <c r="B50" s="172">
        <v>16121</v>
      </c>
      <c r="C50" s="171"/>
      <c r="D50" s="166"/>
      <c r="E50" s="79"/>
    </row>
    <row r="51" spans="1:5" s="55" customFormat="1" ht="15" customHeight="1">
      <c r="A51" s="169" t="s">
        <v>150</v>
      </c>
      <c r="B51" s="168"/>
      <c r="C51" s="176">
        <f>B49-B50</f>
        <v>10009</v>
      </c>
      <c r="D51" s="166"/>
      <c r="E51" s="79"/>
    </row>
    <row r="52" spans="1:5" s="55" customFormat="1" ht="15" customHeight="1">
      <c r="A52" s="167" t="s">
        <v>151</v>
      </c>
      <c r="B52" s="168"/>
      <c r="C52" s="171"/>
      <c r="D52" s="179">
        <f>C48+C51</f>
        <v>47511</v>
      </c>
      <c r="E52" s="79"/>
    </row>
    <row r="53" spans="1:5" s="55" customFormat="1" ht="15" customHeight="1">
      <c r="A53" s="169" t="s">
        <v>152</v>
      </c>
      <c r="B53" s="168"/>
      <c r="C53" s="171"/>
      <c r="D53" s="185">
        <f>-'[1]TB - Rounded'!$H$268</f>
        <v>4725</v>
      </c>
      <c r="E53" s="79"/>
    </row>
    <row r="54" spans="1:5" s="55" customFormat="1" ht="15" customHeight="1">
      <c r="A54" s="167" t="s">
        <v>153</v>
      </c>
      <c r="B54" s="168"/>
      <c r="C54" s="171"/>
      <c r="D54" s="179">
        <f>SUM(D52:D53)</f>
        <v>52236</v>
      </c>
      <c r="E54" s="79"/>
    </row>
    <row r="55" spans="1:5" s="55" customFormat="1" ht="15" customHeight="1">
      <c r="A55" s="186" t="s">
        <v>154</v>
      </c>
      <c r="B55" s="168"/>
      <c r="C55" s="171"/>
      <c r="D55" s="179">
        <f>-'[1]TB - Rounded'!$H$272</f>
        <v>4848</v>
      </c>
      <c r="E55" s="79"/>
    </row>
    <row r="56" spans="1:6" s="55" customFormat="1" ht="15" customHeight="1">
      <c r="A56" s="187" t="s">
        <v>155</v>
      </c>
      <c r="B56" s="188"/>
      <c r="C56" s="189"/>
      <c r="D56" s="183">
        <f>D47+D54+D55</f>
        <v>456223</v>
      </c>
      <c r="E56" s="184"/>
      <c r="F56" s="190"/>
    </row>
    <row r="57" spans="1:5" s="55" customFormat="1" ht="15" customHeight="1">
      <c r="A57" s="191"/>
      <c r="B57" s="192"/>
      <c r="C57" s="192"/>
      <c r="D57" s="193"/>
      <c r="E57" s="79"/>
    </row>
    <row r="58" spans="1:5" s="55" customFormat="1" ht="15" customHeight="1">
      <c r="A58" s="191"/>
      <c r="B58" s="192"/>
      <c r="C58" s="192"/>
      <c r="D58" s="193"/>
      <c r="E58" s="79"/>
    </row>
    <row r="59" spans="1:5" s="55" customFormat="1" ht="15" customHeight="1">
      <c r="A59" s="191"/>
      <c r="B59" s="192"/>
      <c r="C59" s="192"/>
      <c r="D59" s="192"/>
      <c r="E59" s="79"/>
    </row>
    <row r="60" spans="1:5" s="55" customFormat="1" ht="15" customHeight="1">
      <c r="A60" s="191"/>
      <c r="B60" s="192"/>
      <c r="C60" s="192"/>
      <c r="D60" s="192"/>
      <c r="E60" s="79"/>
    </row>
    <row r="61" spans="1:5" s="55" customFormat="1" ht="15" customHeight="1">
      <c r="A61" s="191"/>
      <c r="B61" s="192"/>
      <c r="C61" s="192"/>
      <c r="D61" s="192"/>
      <c r="E61" s="79"/>
    </row>
    <row r="62" spans="1:5" s="55" customFormat="1" ht="15" customHeight="1">
      <c r="A62" s="191"/>
      <c r="B62" s="192"/>
      <c r="C62" s="192"/>
      <c r="D62" s="192"/>
      <c r="E62" s="79"/>
    </row>
    <row r="63" spans="1:5" s="55" customFormat="1" ht="15" customHeight="1">
      <c r="A63" s="191"/>
      <c r="B63" s="192"/>
      <c r="C63" s="192"/>
      <c r="D63" s="192"/>
      <c r="E63" s="79"/>
    </row>
    <row r="64" spans="1:5" s="55" customFormat="1" ht="15" customHeight="1">
      <c r="A64" s="191"/>
      <c r="B64" s="194"/>
      <c r="C64" s="192"/>
      <c r="D64" s="192"/>
      <c r="E64" s="79"/>
    </row>
    <row r="65" spans="1:5" s="55" customFormat="1" ht="15" customHeight="1">
      <c r="A65" s="191"/>
      <c r="B65" s="194"/>
      <c r="C65" s="192"/>
      <c r="D65" s="192"/>
      <c r="E65" s="79"/>
    </row>
    <row r="66" spans="1:5" s="55" customFormat="1" ht="15" customHeight="1">
      <c r="A66" s="191"/>
      <c r="B66" s="194"/>
      <c r="C66" s="192"/>
      <c r="D66" s="192"/>
      <c r="E66" s="79"/>
    </row>
    <row r="67" spans="1:5" s="55" customFormat="1" ht="15" customHeight="1">
      <c r="A67" s="191"/>
      <c r="B67" s="194"/>
      <c r="C67" s="195"/>
      <c r="D67" s="192"/>
      <c r="E67" s="79"/>
    </row>
    <row r="68" spans="1:5" s="55" customFormat="1" ht="15" customHeight="1">
      <c r="A68" s="191"/>
      <c r="B68" s="194"/>
      <c r="C68" s="192"/>
      <c r="D68" s="192"/>
      <c r="E68" s="79"/>
    </row>
    <row r="69" spans="2:5" s="55" customFormat="1" ht="15" customHeight="1">
      <c r="B69" s="194"/>
      <c r="C69" s="192"/>
      <c r="D69" s="192"/>
      <c r="E69" s="79"/>
    </row>
    <row r="70" spans="1:5" s="55" customFormat="1" ht="15" customHeight="1">
      <c r="A70" s="191"/>
      <c r="B70" s="194"/>
      <c r="C70" s="192"/>
      <c r="D70" s="192"/>
      <c r="E70" s="79"/>
    </row>
    <row r="71" spans="1:5" s="55" customFormat="1" ht="15" customHeight="1">
      <c r="A71" s="191"/>
      <c r="B71" s="194"/>
      <c r="C71" s="192"/>
      <c r="D71" s="192"/>
      <c r="E71" s="79"/>
    </row>
    <row r="72" spans="1:5" s="55" customFormat="1" ht="15" customHeight="1">
      <c r="A72" s="191"/>
      <c r="B72" s="196"/>
      <c r="C72" s="192"/>
      <c r="D72" s="192"/>
      <c r="E72" s="79"/>
    </row>
    <row r="73" spans="1:5" s="55" customFormat="1" ht="15" customHeight="1">
      <c r="A73" s="191"/>
      <c r="B73" s="192"/>
      <c r="C73" s="195"/>
      <c r="D73" s="192"/>
      <c r="E73" s="79"/>
    </row>
    <row r="74" spans="1:5" s="55" customFormat="1" ht="15" customHeight="1">
      <c r="A74" s="191"/>
      <c r="B74" s="192"/>
      <c r="C74" s="192"/>
      <c r="D74" s="192"/>
      <c r="E74" s="79"/>
    </row>
    <row r="75" spans="1:5" s="55" customFormat="1" ht="15" customHeight="1">
      <c r="A75" s="191"/>
      <c r="B75" s="192"/>
      <c r="C75" s="192"/>
      <c r="D75" s="192"/>
      <c r="E75" s="79"/>
    </row>
    <row r="76" spans="1:5" s="55" customFormat="1" ht="15" customHeight="1">
      <c r="A76" s="191"/>
      <c r="B76" s="192"/>
      <c r="C76" s="192"/>
      <c r="D76" s="192"/>
      <c r="E76" s="79"/>
    </row>
    <row r="77" spans="1:5" s="55" customFormat="1" ht="15" customHeight="1">
      <c r="A77" s="191"/>
      <c r="B77" s="192"/>
      <c r="C77" s="192"/>
      <c r="D77" s="192"/>
      <c r="E77" s="79"/>
    </row>
    <row r="78" spans="1:5" s="55" customFormat="1" ht="15" customHeight="1">
      <c r="A78" s="191"/>
      <c r="B78" s="192"/>
      <c r="C78" s="192"/>
      <c r="D78" s="192"/>
      <c r="E78" s="79"/>
    </row>
    <row r="79" spans="1:5" s="55" customFormat="1" ht="15" customHeight="1">
      <c r="A79" s="191"/>
      <c r="B79" s="192"/>
      <c r="C79" s="192"/>
      <c r="D79" s="192"/>
      <c r="E79" s="79"/>
    </row>
    <row r="80" spans="1:5" s="55" customFormat="1" ht="15" customHeight="1">
      <c r="A80" s="191"/>
      <c r="B80" s="192"/>
      <c r="C80" s="192"/>
      <c r="D80" s="192"/>
      <c r="E80" s="79"/>
    </row>
    <row r="81" spans="1:5" s="55" customFormat="1" ht="15" customHeight="1">
      <c r="A81" s="191"/>
      <c r="B81" s="192"/>
      <c r="C81" s="192"/>
      <c r="D81" s="192"/>
      <c r="E81" s="79"/>
    </row>
    <row r="82" spans="1:5" s="55" customFormat="1" ht="15" customHeight="1">
      <c r="A82" s="191"/>
      <c r="B82" s="192"/>
      <c r="C82" s="192"/>
      <c r="D82" s="192"/>
      <c r="E82" s="79"/>
    </row>
    <row r="83" spans="1:5" s="55" customFormat="1" ht="15" customHeight="1">
      <c r="A83" s="191"/>
      <c r="B83" s="192"/>
      <c r="C83" s="192"/>
      <c r="D83" s="192"/>
      <c r="E83" s="79"/>
    </row>
    <row r="84" spans="1:5" s="55" customFormat="1" ht="15" customHeight="1">
      <c r="A84" s="191"/>
      <c r="B84" s="192"/>
      <c r="C84" s="192"/>
      <c r="D84" s="192"/>
      <c r="E84" s="79"/>
    </row>
    <row r="85" spans="1:5" s="55" customFormat="1" ht="15" customHeight="1">
      <c r="A85" s="191"/>
      <c r="B85" s="192"/>
      <c r="C85" s="192"/>
      <c r="D85" s="192"/>
      <c r="E85" s="79"/>
    </row>
    <row r="86" spans="1:5" s="55" customFormat="1" ht="15" customHeight="1">
      <c r="A86" s="191"/>
      <c r="B86" s="192"/>
      <c r="C86" s="192"/>
      <c r="D86" s="192"/>
      <c r="E86" s="79"/>
    </row>
    <row r="87" spans="1:5" s="55" customFormat="1" ht="15" customHeight="1">
      <c r="A87" s="191"/>
      <c r="B87" s="192"/>
      <c r="C87" s="192"/>
      <c r="D87" s="192"/>
      <c r="E87" s="79"/>
    </row>
    <row r="88" spans="1:5" s="55" customFormat="1" ht="15" customHeight="1">
      <c r="A88" s="191"/>
      <c r="B88" s="192"/>
      <c r="C88" s="192"/>
      <c r="D88" s="192"/>
      <c r="E88" s="79"/>
    </row>
    <row r="89" spans="1:5" s="55" customFormat="1" ht="15" customHeight="1">
      <c r="A89" s="191"/>
      <c r="B89" s="192"/>
      <c r="C89" s="196"/>
      <c r="D89" s="196"/>
      <c r="E89" s="79"/>
    </row>
    <row r="90" spans="1:5" s="55" customFormat="1" ht="15" customHeight="1">
      <c r="A90" s="191"/>
      <c r="B90" s="192"/>
      <c r="C90" s="196"/>
      <c r="D90" s="196"/>
      <c r="E90" s="79"/>
    </row>
    <row r="91" spans="1:5" s="55" customFormat="1" ht="15" customHeight="1">
      <c r="A91" s="191"/>
      <c r="B91" s="192"/>
      <c r="C91" s="196"/>
      <c r="D91" s="196"/>
      <c r="E91" s="79"/>
    </row>
    <row r="92" spans="1:5" s="55" customFormat="1" ht="15" customHeight="1">
      <c r="A92" s="191"/>
      <c r="B92" s="196"/>
      <c r="C92" s="196"/>
      <c r="D92" s="196"/>
      <c r="E92" s="79"/>
    </row>
    <row r="93" spans="1:5" s="55" customFormat="1" ht="15" customHeight="1">
      <c r="A93" s="191"/>
      <c r="B93" s="196"/>
      <c r="C93" s="196"/>
      <c r="D93" s="196"/>
      <c r="E93" s="79"/>
    </row>
    <row r="94" spans="1:5" s="55" customFormat="1" ht="15" customHeight="1">
      <c r="A94" s="191"/>
      <c r="B94" s="196"/>
      <c r="C94" s="196"/>
      <c r="D94" s="196"/>
      <c r="E94" s="79"/>
    </row>
    <row r="95" spans="1:5" s="55" customFormat="1" ht="15" customHeight="1">
      <c r="A95" s="191"/>
      <c r="B95" s="196"/>
      <c r="C95" s="196"/>
      <c r="D95" s="196"/>
      <c r="E95" s="79"/>
    </row>
    <row r="96" spans="1:5" s="55" customFormat="1" ht="15" customHeight="1">
      <c r="A96" s="191"/>
      <c r="B96" s="196"/>
      <c r="C96" s="196"/>
      <c r="D96" s="196"/>
      <c r="E96" s="79"/>
    </row>
    <row r="97" spans="1:5" s="55" customFormat="1" ht="15" customHeight="1">
      <c r="A97" s="191"/>
      <c r="B97" s="196"/>
      <c r="C97" s="196"/>
      <c r="D97" s="196"/>
      <c r="E97" s="79"/>
    </row>
    <row r="98" spans="1:5" s="55" customFormat="1" ht="15" customHeight="1">
      <c r="A98" s="191"/>
      <c r="B98" s="196"/>
      <c r="C98" s="196"/>
      <c r="D98" s="196"/>
      <c r="E98" s="79"/>
    </row>
    <row r="99" spans="1:5" s="55" customFormat="1" ht="15" customHeight="1">
      <c r="A99" s="191"/>
      <c r="B99" s="196"/>
      <c r="C99" s="196"/>
      <c r="D99" s="196"/>
      <c r="E99" s="79"/>
    </row>
    <row r="100" spans="1:5" s="55" customFormat="1" ht="15" customHeight="1">
      <c r="A100" s="191"/>
      <c r="B100" s="196"/>
      <c r="C100" s="196"/>
      <c r="D100" s="196"/>
      <c r="E100" s="79"/>
    </row>
    <row r="101" spans="1:5" s="55" customFormat="1" ht="15" customHeight="1">
      <c r="A101" s="191"/>
      <c r="B101" s="196"/>
      <c r="C101" s="196"/>
      <c r="D101" s="196"/>
      <c r="E101" s="79"/>
    </row>
    <row r="102" spans="1:5" s="55" customFormat="1" ht="15" customHeight="1">
      <c r="A102" s="191"/>
      <c r="B102" s="196"/>
      <c r="C102" s="196"/>
      <c r="D102" s="196"/>
      <c r="E102" s="79"/>
    </row>
    <row r="103" spans="1:5" s="55" customFormat="1" ht="15" customHeight="1">
      <c r="A103" s="191"/>
      <c r="B103" s="196"/>
      <c r="C103" s="196"/>
      <c r="D103" s="196"/>
      <c r="E103" s="79"/>
    </row>
    <row r="104" spans="1:5" s="55" customFormat="1" ht="15" customHeight="1">
      <c r="A104" s="191"/>
      <c r="B104" s="196"/>
      <c r="C104" s="196"/>
      <c r="D104" s="196"/>
      <c r="E104" s="79"/>
    </row>
    <row r="105" spans="1:5" s="55" customFormat="1" ht="15" customHeight="1">
      <c r="A105" s="191"/>
      <c r="B105" s="196"/>
      <c r="C105" s="196"/>
      <c r="D105" s="196"/>
      <c r="E105" s="79"/>
    </row>
    <row r="106" spans="1:5" s="55" customFormat="1" ht="15" customHeight="1">
      <c r="A106" s="191"/>
      <c r="B106" s="196"/>
      <c r="C106" s="196"/>
      <c r="D106" s="196"/>
      <c r="E106" s="79"/>
    </row>
    <row r="107" spans="1:5" s="55" customFormat="1" ht="15" customHeight="1">
      <c r="A107" s="191"/>
      <c r="B107" s="196"/>
      <c r="C107" s="196"/>
      <c r="D107" s="196"/>
      <c r="E107" s="79"/>
    </row>
    <row r="108" spans="1:5" s="55" customFormat="1" ht="15" customHeight="1">
      <c r="A108" s="191"/>
      <c r="B108" s="196"/>
      <c r="C108" s="196"/>
      <c r="D108" s="196"/>
      <c r="E108" s="79"/>
    </row>
    <row r="109" spans="1:5" s="55" customFormat="1" ht="15" customHeight="1">
      <c r="A109" s="191"/>
      <c r="B109" s="196"/>
      <c r="C109" s="196"/>
      <c r="D109" s="196"/>
      <c r="E109" s="79"/>
    </row>
    <row r="110" spans="1:5" s="55" customFormat="1" ht="15" customHeight="1">
      <c r="A110" s="191"/>
      <c r="B110" s="196"/>
      <c r="C110" s="196"/>
      <c r="D110" s="196"/>
      <c r="E110" s="79"/>
    </row>
    <row r="111" spans="1:5" s="55" customFormat="1" ht="15" customHeight="1">
      <c r="A111" s="191"/>
      <c r="B111" s="196"/>
      <c r="C111" s="196"/>
      <c r="D111" s="196"/>
      <c r="E111" s="79"/>
    </row>
    <row r="112" spans="1:5" s="55" customFormat="1" ht="15" customHeight="1">
      <c r="A112" s="191"/>
      <c r="B112" s="196"/>
      <c r="C112" s="196"/>
      <c r="D112" s="196"/>
      <c r="E112" s="79"/>
    </row>
    <row r="113" spans="1:5" s="55" customFormat="1" ht="15" customHeight="1">
      <c r="A113" s="191"/>
      <c r="B113" s="196"/>
      <c r="C113" s="196"/>
      <c r="D113" s="196"/>
      <c r="E113" s="79"/>
    </row>
    <row r="114" spans="1:5" s="55" customFormat="1" ht="15" customHeight="1">
      <c r="A114" s="191"/>
      <c r="B114" s="196"/>
      <c r="C114" s="196"/>
      <c r="D114" s="196"/>
      <c r="E114" s="79"/>
    </row>
    <row r="115" spans="1:5" s="55" customFormat="1" ht="15" customHeight="1">
      <c r="A115" s="191"/>
      <c r="B115" s="196"/>
      <c r="C115" s="196"/>
      <c r="D115" s="196"/>
      <c r="E115" s="79"/>
    </row>
    <row r="116" spans="1:5" s="55" customFormat="1" ht="15" customHeight="1">
      <c r="A116" s="191"/>
      <c r="B116" s="196"/>
      <c r="C116" s="196"/>
      <c r="D116" s="196"/>
      <c r="E116" s="79"/>
    </row>
    <row r="117" spans="1:5" s="55" customFormat="1" ht="15" customHeight="1">
      <c r="A117" s="191"/>
      <c r="B117" s="196"/>
      <c r="C117" s="196"/>
      <c r="D117" s="196"/>
      <c r="E117" s="79"/>
    </row>
    <row r="118" spans="1:5" s="55" customFormat="1" ht="15" customHeight="1">
      <c r="A118" s="191"/>
      <c r="B118" s="196"/>
      <c r="C118" s="196"/>
      <c r="D118" s="196"/>
      <c r="E118" s="79"/>
    </row>
    <row r="119" spans="1:5" s="55" customFormat="1" ht="15" customHeight="1">
      <c r="A119" s="191"/>
      <c r="B119" s="196"/>
      <c r="C119" s="196"/>
      <c r="D119" s="196"/>
      <c r="E119" s="79"/>
    </row>
    <row r="120" spans="1:5" s="55" customFormat="1" ht="15" customHeight="1">
      <c r="A120" s="191"/>
      <c r="B120" s="196"/>
      <c r="C120" s="196"/>
      <c r="D120" s="196"/>
      <c r="E120" s="79"/>
    </row>
    <row r="121" spans="1:5" s="55" customFormat="1" ht="15" customHeight="1">
      <c r="A121" s="197"/>
      <c r="B121" s="196"/>
      <c r="C121" s="196"/>
      <c r="D121" s="196"/>
      <c r="E121" s="79"/>
    </row>
    <row r="122" spans="1:5" s="55" customFormat="1" ht="15" customHeight="1">
      <c r="A122" s="197"/>
      <c r="B122" s="196"/>
      <c r="C122" s="196"/>
      <c r="D122" s="196"/>
      <c r="E122" s="79"/>
    </row>
    <row r="123" spans="1:5" s="55" customFormat="1" ht="15" customHeight="1">
      <c r="A123" s="197"/>
      <c r="B123" s="196"/>
      <c r="C123" s="196"/>
      <c r="D123" s="196"/>
      <c r="E123" s="79"/>
    </row>
    <row r="124" spans="1:5" s="55" customFormat="1" ht="15" customHeight="1">
      <c r="A124" s="197"/>
      <c r="B124" s="196"/>
      <c r="C124" s="196"/>
      <c r="D124" s="196"/>
      <c r="E124" s="79"/>
    </row>
    <row r="125" spans="1:5" s="55" customFormat="1" ht="15" customHeight="1">
      <c r="A125" s="197"/>
      <c r="B125" s="196"/>
      <c r="C125" s="196"/>
      <c r="D125" s="196"/>
      <c r="E125" s="79"/>
    </row>
    <row r="126" spans="1:5" s="55" customFormat="1" ht="15" customHeight="1">
      <c r="A126" s="197"/>
      <c r="B126" s="196"/>
      <c r="C126" s="196"/>
      <c r="D126" s="196"/>
      <c r="E126" s="79"/>
    </row>
    <row r="127" spans="1:5" s="55" customFormat="1" ht="15" customHeight="1">
      <c r="A127" s="197"/>
      <c r="B127" s="196"/>
      <c r="C127" s="196"/>
      <c r="D127" s="196"/>
      <c r="E127" s="79"/>
    </row>
    <row r="128" ht="15" customHeight="1">
      <c r="A128" s="198"/>
    </row>
    <row r="129" s="49" customFormat="1" ht="15" customHeight="1">
      <c r="A129" s="198"/>
    </row>
    <row r="130" s="49" customFormat="1" ht="15" customHeight="1">
      <c r="A130" s="198"/>
    </row>
    <row r="131" s="49" customFormat="1" ht="15" customHeight="1">
      <c r="A131" s="198"/>
    </row>
    <row r="132" s="49" customFormat="1" ht="15" customHeight="1">
      <c r="A132" s="198"/>
    </row>
    <row r="133" s="49" customFormat="1" ht="15" customHeight="1">
      <c r="A133" s="198"/>
    </row>
    <row r="134" s="49" customFormat="1" ht="15" customHeight="1">
      <c r="A134" s="198"/>
    </row>
    <row r="135" s="49" customFormat="1" ht="15" customHeight="1">
      <c r="A135" s="198"/>
    </row>
    <row r="136" s="49" customFormat="1" ht="15" customHeight="1">
      <c r="A136" s="198"/>
    </row>
    <row r="137" s="49" customFormat="1" ht="15" customHeight="1">
      <c r="A137" s="198"/>
    </row>
    <row r="138" s="49" customFormat="1" ht="15" customHeight="1">
      <c r="A138" s="198"/>
    </row>
    <row r="139" s="49" customFormat="1" ht="15" customHeight="1">
      <c r="A139" s="198"/>
    </row>
    <row r="140" s="49" customFormat="1" ht="15" customHeight="1">
      <c r="A140" s="198"/>
    </row>
    <row r="141" s="49" customFormat="1" ht="15" customHeight="1">
      <c r="A141" s="198"/>
    </row>
    <row r="142" s="49" customFormat="1" ht="15" customHeight="1">
      <c r="A142" s="198"/>
    </row>
    <row r="143" s="49" customFormat="1" ht="15" customHeight="1">
      <c r="A143" s="198"/>
    </row>
    <row r="144" s="49" customFormat="1" ht="15" customHeight="1">
      <c r="A144" s="198"/>
    </row>
    <row r="145" s="49" customFormat="1" ht="15" customHeight="1">
      <c r="A145" s="198"/>
    </row>
    <row r="146" s="49" customFormat="1" ht="15" customHeight="1">
      <c r="A146" s="198"/>
    </row>
    <row r="147" s="49" customFormat="1" ht="15" customHeight="1">
      <c r="A147" s="198"/>
    </row>
    <row r="148" s="49" customFormat="1" ht="15" customHeight="1">
      <c r="A148" s="198"/>
    </row>
    <row r="149" s="49" customFormat="1" ht="15" customHeight="1">
      <c r="A149" s="198"/>
    </row>
    <row r="150" s="49" customFormat="1" ht="15" customHeight="1">
      <c r="A150" s="198"/>
    </row>
    <row r="151" s="49" customFormat="1" ht="15" customHeight="1">
      <c r="A151" s="198"/>
    </row>
    <row r="152" s="49" customFormat="1" ht="15" customHeight="1">
      <c r="A152" s="198"/>
    </row>
    <row r="153" s="49" customFormat="1" ht="15" customHeight="1">
      <c r="A153" s="198"/>
    </row>
    <row r="154" s="49" customFormat="1" ht="15" customHeight="1">
      <c r="A154" s="198"/>
    </row>
    <row r="155" s="49" customFormat="1" ht="15" customHeight="1">
      <c r="A155" s="198"/>
    </row>
    <row r="156" s="49" customFormat="1" ht="15" customHeight="1">
      <c r="A156" s="198"/>
    </row>
    <row r="157" s="49" customFormat="1" ht="15" customHeight="1">
      <c r="A157" s="198"/>
    </row>
    <row r="158" s="49" customFormat="1" ht="15" customHeight="1">
      <c r="A158" s="198"/>
    </row>
    <row r="159" s="49" customFormat="1" ht="15" customHeight="1">
      <c r="A159" s="198"/>
    </row>
    <row r="160" s="49" customFormat="1" ht="15" customHeight="1">
      <c r="A160" s="198"/>
    </row>
    <row r="161" s="49" customFormat="1" ht="15" customHeight="1">
      <c r="A161" s="198"/>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F161"/>
  <sheetViews>
    <sheetView zoomScalePageLayoutView="0" workbookViewId="0" topLeftCell="A28">
      <selection activeCell="D59" sqref="D59"/>
    </sheetView>
  </sheetViews>
  <sheetFormatPr defaultColWidth="15.7109375" defaultRowHeight="15" customHeight="1"/>
  <cols>
    <col min="1" max="1" width="60.7109375" style="49" customWidth="1"/>
    <col min="2" max="4" width="18.7109375" style="199" customWidth="1"/>
    <col min="5" max="5" width="15.7109375" style="200" customWidth="1"/>
    <col min="6" max="16384" width="15.7109375" style="49" customWidth="1"/>
  </cols>
  <sheetData>
    <row r="1" spans="1:5" s="149" customFormat="1" ht="30" customHeight="1">
      <c r="A1" s="334" t="s">
        <v>0</v>
      </c>
      <c r="B1" s="335"/>
      <c r="C1" s="335"/>
      <c r="D1" s="336"/>
      <c r="E1" s="148"/>
    </row>
    <row r="2" spans="1:5" s="151" customFormat="1" ht="15" customHeight="1">
      <c r="A2" s="337"/>
      <c r="B2" s="338"/>
      <c r="C2" s="338"/>
      <c r="D2" s="339"/>
      <c r="E2" s="150"/>
    </row>
    <row r="3" spans="1:5" s="151" customFormat="1" ht="15" customHeight="1">
      <c r="A3" s="340" t="s">
        <v>107</v>
      </c>
      <c r="B3" s="341"/>
      <c r="C3" s="341"/>
      <c r="D3" s="342"/>
      <c r="E3" s="150"/>
    </row>
    <row r="4" spans="1:5" s="151" customFormat="1" ht="15" customHeight="1">
      <c r="A4" s="340" t="s">
        <v>108</v>
      </c>
      <c r="B4" s="341"/>
      <c r="C4" s="341"/>
      <c r="D4" s="342"/>
      <c r="E4" s="150"/>
    </row>
    <row r="5" spans="1:5" s="151" customFormat="1" ht="15" customHeight="1">
      <c r="A5" s="340" t="s">
        <v>156</v>
      </c>
      <c r="B5" s="341"/>
      <c r="C5" s="341"/>
      <c r="D5" s="342"/>
      <c r="E5" s="150"/>
    </row>
    <row r="6" spans="1:5" s="151" customFormat="1" ht="15" customHeight="1">
      <c r="A6" s="152"/>
      <c r="B6" s="153"/>
      <c r="C6" s="153"/>
      <c r="D6" s="154"/>
      <c r="E6" s="150"/>
    </row>
    <row r="7" spans="1:5" s="55" customFormat="1" ht="15" customHeight="1">
      <c r="A7" s="155"/>
      <c r="B7" s="153"/>
      <c r="C7" s="153"/>
      <c r="D7" s="154"/>
      <c r="E7" s="79"/>
    </row>
    <row r="8" spans="1:5" s="55" customFormat="1" ht="15" customHeight="1">
      <c r="A8" s="156" t="s">
        <v>110</v>
      </c>
      <c r="B8" s="157" t="s">
        <v>111</v>
      </c>
      <c r="C8" s="158"/>
      <c r="D8" s="159"/>
      <c r="E8" s="79"/>
    </row>
    <row r="9" spans="1:5" s="55" customFormat="1" ht="15" customHeight="1">
      <c r="A9" s="156"/>
      <c r="B9" s="160" t="s">
        <v>40</v>
      </c>
      <c r="C9" s="161"/>
      <c r="D9" s="162"/>
      <c r="E9" s="79"/>
    </row>
    <row r="10" spans="1:5" s="55" customFormat="1" ht="15" customHeight="1">
      <c r="A10" s="163"/>
      <c r="B10" s="164" t="s">
        <v>112</v>
      </c>
      <c r="C10" s="165"/>
      <c r="D10" s="166"/>
      <c r="E10" s="79"/>
    </row>
    <row r="11" spans="1:5" s="55" customFormat="1" ht="15" customHeight="1">
      <c r="A11" s="167" t="s">
        <v>113</v>
      </c>
      <c r="B11" s="168"/>
      <c r="C11" s="21">
        <f>'Premiums YTD-8'!F12</f>
        <v>10260636</v>
      </c>
      <c r="D11" s="166"/>
      <c r="E11" s="79"/>
    </row>
    <row r="12" spans="1:5" s="55" customFormat="1" ht="15" customHeight="1">
      <c r="A12" s="167"/>
      <c r="B12" s="168"/>
      <c r="C12" s="25"/>
      <c r="D12" s="166"/>
      <c r="E12" s="79"/>
    </row>
    <row r="13" spans="1:5" s="55" customFormat="1" ht="15" customHeight="1">
      <c r="A13" s="169" t="s">
        <v>114</v>
      </c>
      <c r="B13" s="170">
        <f>'Premiums YTD-8'!F18</f>
        <v>5184614</v>
      </c>
      <c r="C13" s="171"/>
      <c r="D13" s="166"/>
      <c r="E13" s="79"/>
    </row>
    <row r="14" spans="1:5" s="55" customFormat="1" ht="15" customHeight="1">
      <c r="A14" s="169" t="s">
        <v>115</v>
      </c>
      <c r="B14" s="172">
        <f>'Premiums YTD-8'!F24</f>
        <v>5419228.58</v>
      </c>
      <c r="C14" s="171"/>
      <c r="D14" s="166"/>
      <c r="E14" s="79"/>
    </row>
    <row r="15" spans="1:5" s="55" customFormat="1" ht="15" customHeight="1">
      <c r="A15" s="169" t="s">
        <v>116</v>
      </c>
      <c r="B15" s="168"/>
      <c r="C15" s="173">
        <f>B14-B13</f>
        <v>234614.58000000007</v>
      </c>
      <c r="D15" s="166"/>
      <c r="E15" s="79"/>
    </row>
    <row r="16" spans="1:5" s="55" customFormat="1" ht="15" customHeight="1">
      <c r="A16" s="167" t="s">
        <v>117</v>
      </c>
      <c r="B16" s="168"/>
      <c r="C16" s="171"/>
      <c r="D16" s="174">
        <f>C11+C15</f>
        <v>10495250.58</v>
      </c>
      <c r="E16" s="79"/>
    </row>
    <row r="17" spans="1:4" s="55" customFormat="1" ht="15" customHeight="1">
      <c r="A17" s="169" t="s">
        <v>118</v>
      </c>
      <c r="B17" s="168"/>
      <c r="C17" s="144">
        <f>'[1]Loss Expenses Paid YTD-16'!E30</f>
        <v>3979481</v>
      </c>
      <c r="D17" s="166"/>
    </row>
    <row r="18" spans="1:4" s="55" customFormat="1" ht="15" customHeight="1">
      <c r="A18" s="169" t="s">
        <v>119</v>
      </c>
      <c r="B18" s="168"/>
      <c r="C18" s="173">
        <f>-'[1]TB - Rounded'!$J$291</f>
        <v>7897</v>
      </c>
      <c r="D18" s="166"/>
    </row>
    <row r="19" spans="1:5" s="55" customFormat="1" ht="15" customHeight="1">
      <c r="A19" s="167" t="s">
        <v>120</v>
      </c>
      <c r="B19" s="168"/>
      <c r="C19" s="144">
        <f>C17-C18</f>
        <v>3971584</v>
      </c>
      <c r="D19" s="166"/>
      <c r="E19" s="79"/>
    </row>
    <row r="20" spans="1:5" s="55" customFormat="1" ht="15" customHeight="1">
      <c r="A20" s="169" t="s">
        <v>121</v>
      </c>
      <c r="B20" s="170">
        <f>'Losses Incurred YTD-10'!F18+'Losses Incurred YTD-10'!F24</f>
        <v>1815415</v>
      </c>
      <c r="C20" s="171" t="s">
        <v>112</v>
      </c>
      <c r="D20" s="166"/>
      <c r="E20" s="79"/>
    </row>
    <row r="21" spans="1:5" s="55" customFormat="1" ht="15" customHeight="1">
      <c r="A21" s="169" t="s">
        <v>122</v>
      </c>
      <c r="B21" s="172">
        <f>'Losses Incurred YTD-10'!F31</f>
        <v>1867137.29</v>
      </c>
      <c r="C21" s="171"/>
      <c r="D21" s="166"/>
      <c r="E21" s="79"/>
    </row>
    <row r="22" spans="1:5" s="55" customFormat="1" ht="15" customHeight="1">
      <c r="A22" s="169" t="s">
        <v>123</v>
      </c>
      <c r="B22" s="175"/>
      <c r="C22" s="176">
        <f>B20-B21</f>
        <v>-51722.29000000004</v>
      </c>
      <c r="D22" s="166"/>
      <c r="E22" s="79"/>
    </row>
    <row r="23" spans="1:5" s="55" customFormat="1" ht="15" customHeight="1">
      <c r="A23" s="167" t="s">
        <v>124</v>
      </c>
      <c r="B23" s="168"/>
      <c r="C23" s="171"/>
      <c r="D23" s="177">
        <f>C19+C22</f>
        <v>3919861.71</v>
      </c>
      <c r="E23" s="171"/>
    </row>
    <row r="24" spans="1:5" s="55" customFormat="1" ht="15" customHeight="1">
      <c r="A24" s="169" t="s">
        <v>125</v>
      </c>
      <c r="B24" s="168"/>
      <c r="C24" s="144">
        <f>'[1]Loss Expenses Paid YTD-16'!C30</f>
        <v>538611</v>
      </c>
      <c r="D24" s="166"/>
      <c r="E24" s="178"/>
    </row>
    <row r="25" spans="1:5" s="55" customFormat="1" ht="15" customHeight="1">
      <c r="A25" s="169" t="s">
        <v>126</v>
      </c>
      <c r="B25" s="168"/>
      <c r="C25" s="173">
        <f>'[1]Loss Expenses Paid YTD-16'!I30</f>
        <v>550895</v>
      </c>
      <c r="D25" s="166"/>
      <c r="E25" s="178"/>
    </row>
    <row r="26" spans="1:5" s="55" customFormat="1" ht="15" customHeight="1">
      <c r="A26" s="167" t="s">
        <v>127</v>
      </c>
      <c r="B26" s="168"/>
      <c r="C26" s="144">
        <f>C24+C25</f>
        <v>1089506</v>
      </c>
      <c r="D26" s="166"/>
      <c r="E26" s="171"/>
    </row>
    <row r="27" spans="1:5" s="55" customFormat="1" ht="15" customHeight="1">
      <c r="A27" s="169" t="s">
        <v>128</v>
      </c>
      <c r="B27" s="170">
        <f>'Loss Expenses YTD-12'!F18</f>
        <v>406281</v>
      </c>
      <c r="C27" s="171"/>
      <c r="D27" s="166"/>
      <c r="E27" s="178"/>
    </row>
    <row r="28" spans="1:5" s="55" customFormat="1" ht="15" customHeight="1">
      <c r="A28" s="169" t="s">
        <v>129</v>
      </c>
      <c r="B28" s="172">
        <f>'Loss Expenses YTD-12'!F24</f>
        <v>391446.04</v>
      </c>
      <c r="C28" s="171"/>
      <c r="D28" s="166"/>
      <c r="E28" s="171"/>
    </row>
    <row r="29" spans="1:5" s="55" customFormat="1" ht="15" customHeight="1">
      <c r="A29" s="169" t="s">
        <v>130</v>
      </c>
      <c r="B29" s="168"/>
      <c r="C29" s="176">
        <f>B27-B28</f>
        <v>14834.960000000021</v>
      </c>
      <c r="D29" s="166"/>
      <c r="E29" s="178"/>
    </row>
    <row r="30" spans="1:5" s="55" customFormat="1" ht="15" customHeight="1">
      <c r="A30" s="167" t="s">
        <v>131</v>
      </c>
      <c r="B30" s="168"/>
      <c r="C30" s="171"/>
      <c r="D30" s="179">
        <f>C26+C29</f>
        <v>1104340.96</v>
      </c>
      <c r="E30" s="171"/>
    </row>
    <row r="31" spans="1:5" s="55" customFormat="1" ht="15" customHeight="1">
      <c r="A31" s="167" t="s">
        <v>132</v>
      </c>
      <c r="B31" s="168"/>
      <c r="C31" s="171"/>
      <c r="D31" s="180">
        <f>D23+D30</f>
        <v>5024202.67</v>
      </c>
      <c r="E31" s="171"/>
    </row>
    <row r="32" spans="1:5" s="55" customFormat="1" ht="15" customHeight="1">
      <c r="A32" s="169" t="s">
        <v>133</v>
      </c>
      <c r="B32" s="168"/>
      <c r="C32" s="144">
        <f>20175+14066-441+14066+1856</f>
        <v>49722</v>
      </c>
      <c r="D32" s="166"/>
      <c r="E32" s="178"/>
    </row>
    <row r="33" spans="1:5" s="55" customFormat="1" ht="15" customHeight="1">
      <c r="A33" s="169" t="s">
        <v>134</v>
      </c>
      <c r="B33" s="170">
        <f>-'[1]TB - Rounded'!$J$120</f>
        <v>37509</v>
      </c>
      <c r="C33" s="171"/>
      <c r="D33" s="166"/>
      <c r="E33" s="79"/>
    </row>
    <row r="34" spans="1:5" s="55" customFormat="1" ht="15" customHeight="1">
      <c r="A34" s="169" t="s">
        <v>135</v>
      </c>
      <c r="B34" s="172">
        <v>38430.490000000005</v>
      </c>
      <c r="C34" s="171"/>
      <c r="D34" s="166"/>
      <c r="E34" s="79"/>
    </row>
    <row r="35" spans="1:5" s="55" customFormat="1" ht="15" customHeight="1">
      <c r="A35" s="169" t="s">
        <v>136</v>
      </c>
      <c r="B35" s="168"/>
      <c r="C35" s="176">
        <f>B33-B34</f>
        <v>-921.4900000000052</v>
      </c>
      <c r="D35" s="166"/>
      <c r="E35" s="79"/>
    </row>
    <row r="36" spans="1:5" s="55" customFormat="1" ht="15" customHeight="1">
      <c r="A36" s="167" t="s">
        <v>137</v>
      </c>
      <c r="B36" s="168"/>
      <c r="C36" s="171" t="s">
        <v>112</v>
      </c>
      <c r="D36" s="177">
        <f>C32+C35</f>
        <v>48800.509999999995</v>
      </c>
      <c r="E36" s="79"/>
    </row>
    <row r="37" spans="1:5" s="55" customFormat="1" ht="15" customHeight="1">
      <c r="A37" s="169" t="s">
        <v>138</v>
      </c>
      <c r="B37" s="168"/>
      <c r="C37" s="144">
        <f>'[1]TB - Rounded'!$J$384</f>
        <v>867018</v>
      </c>
      <c r="D37" s="166"/>
      <c r="E37" s="79"/>
    </row>
    <row r="38" spans="1:5" s="55" customFormat="1" ht="15" customHeight="1">
      <c r="A38" s="169" t="s">
        <v>139</v>
      </c>
      <c r="B38" s="168"/>
      <c r="C38" s="144">
        <f>'[1]TB - Rounded'!$J$399</f>
        <v>121672</v>
      </c>
      <c r="D38" s="166"/>
      <c r="E38" s="181"/>
    </row>
    <row r="39" spans="1:6" s="55" customFormat="1" ht="15" customHeight="1">
      <c r="A39" s="169" t="s">
        <v>140</v>
      </c>
      <c r="B39" s="168"/>
      <c r="C39" s="173">
        <f>'[1]TB - Rounded'!$J$625-C43-8</f>
        <v>3623438.82</v>
      </c>
      <c r="D39" s="166"/>
      <c r="E39" s="181"/>
      <c r="F39" s="79"/>
    </row>
    <row r="40" spans="1:6" s="55" customFormat="1" ht="15" customHeight="1">
      <c r="A40" s="167" t="s">
        <v>141</v>
      </c>
      <c r="B40" s="168"/>
      <c r="C40" s="144">
        <f>SUM(C37:C39)</f>
        <v>4612128.82</v>
      </c>
      <c r="D40" s="166"/>
      <c r="E40" s="181"/>
      <c r="F40" s="79"/>
    </row>
    <row r="41" spans="1:5" s="55" customFormat="1" ht="15" customHeight="1">
      <c r="A41" s="169" t="s">
        <v>134</v>
      </c>
      <c r="B41" s="170">
        <f>-'[1]TB - Rounded'!$J$137</f>
        <v>224460</v>
      </c>
      <c r="C41" s="171"/>
      <c r="D41" s="166"/>
      <c r="E41" s="181"/>
    </row>
    <row r="42" spans="1:5" s="55" customFormat="1" ht="15" customHeight="1">
      <c r="A42" s="169" t="s">
        <v>135</v>
      </c>
      <c r="B42" s="172">
        <v>201852.82</v>
      </c>
      <c r="C42" s="171" t="s">
        <v>112</v>
      </c>
      <c r="D42" s="166"/>
      <c r="E42" s="79"/>
    </row>
    <row r="43" spans="1:5" s="55" customFormat="1" ht="15" customHeight="1">
      <c r="A43" s="169" t="s">
        <v>142</v>
      </c>
      <c r="B43" s="168"/>
      <c r="C43" s="176">
        <f>+B41-B42</f>
        <v>22607.179999999993</v>
      </c>
      <c r="D43" s="166"/>
      <c r="E43" s="79"/>
    </row>
    <row r="44" spans="1:6" s="55" customFormat="1" ht="15" customHeight="1">
      <c r="A44" s="167" t="s">
        <v>143</v>
      </c>
      <c r="B44" s="168"/>
      <c r="C44" s="171"/>
      <c r="D44" s="179">
        <f>SUM(C40:C43)</f>
        <v>4634736</v>
      </c>
      <c r="E44" s="79"/>
      <c r="F44" s="79"/>
    </row>
    <row r="45" spans="1:6" s="55" customFormat="1" ht="15" customHeight="1">
      <c r="A45" s="167" t="s">
        <v>144</v>
      </c>
      <c r="B45" s="168"/>
      <c r="C45" s="171"/>
      <c r="D45" s="179">
        <f>SUM(D36:D44)</f>
        <v>4683536.51</v>
      </c>
      <c r="E45" s="79"/>
      <c r="F45" s="182"/>
    </row>
    <row r="46" spans="1:6" s="55" customFormat="1" ht="15" customHeight="1">
      <c r="A46" s="167" t="s">
        <v>145</v>
      </c>
      <c r="B46" s="168"/>
      <c r="C46" s="171"/>
      <c r="D46" s="183">
        <f>+D31+D45+1</f>
        <v>9707740.18</v>
      </c>
      <c r="E46" s="79"/>
      <c r="F46" s="182"/>
    </row>
    <row r="47" spans="1:6" s="55" customFormat="1" ht="15" customHeight="1">
      <c r="A47" s="167" t="s">
        <v>146</v>
      </c>
      <c r="B47" s="168"/>
      <c r="C47" s="171"/>
      <c r="D47" s="180">
        <f>D16-D31-D45</f>
        <v>787511.4000000004</v>
      </c>
      <c r="E47" s="184"/>
      <c r="F47" s="79"/>
    </row>
    <row r="48" spans="1:4" s="55" customFormat="1" ht="15" customHeight="1">
      <c r="A48" s="169" t="s">
        <v>147</v>
      </c>
      <c r="B48" s="168"/>
      <c r="C48" s="144">
        <f>-'[1]TB - Rounded'!$J$261-C51</f>
        <v>89597.83</v>
      </c>
      <c r="D48" s="166"/>
    </row>
    <row r="49" spans="1:5" s="55" customFormat="1" ht="15" customHeight="1">
      <c r="A49" s="169" t="s">
        <v>148</v>
      </c>
      <c r="B49" s="170">
        <f>'[1]TB - Rounded'!$J$36</f>
        <v>26130</v>
      </c>
      <c r="C49" s="171"/>
      <c r="D49" s="166"/>
      <c r="E49" s="79"/>
    </row>
    <row r="50" spans="1:5" s="55" customFormat="1" ht="15" customHeight="1">
      <c r="A50" s="169" t="s">
        <v>149</v>
      </c>
      <c r="B50" s="172">
        <v>11960.83</v>
      </c>
      <c r="C50" s="171"/>
      <c r="D50" s="166"/>
      <c r="E50" s="79"/>
    </row>
    <row r="51" spans="1:5" s="55" customFormat="1" ht="15" customHeight="1">
      <c r="A51" s="169" t="s">
        <v>150</v>
      </c>
      <c r="B51" s="168"/>
      <c r="C51" s="176">
        <f>B49-B50</f>
        <v>14169.17</v>
      </c>
      <c r="D51" s="166"/>
      <c r="E51" s="79"/>
    </row>
    <row r="52" spans="1:5" s="55" customFormat="1" ht="15" customHeight="1">
      <c r="A52" s="167" t="s">
        <v>151</v>
      </c>
      <c r="B52" s="168"/>
      <c r="C52" s="171"/>
      <c r="D52" s="179">
        <f>C48+C51</f>
        <v>103767</v>
      </c>
      <c r="E52" s="79"/>
    </row>
    <row r="53" spans="1:5" s="55" customFormat="1" ht="15" customHeight="1">
      <c r="A53" s="169" t="s">
        <v>152</v>
      </c>
      <c r="B53" s="168"/>
      <c r="C53" s="171"/>
      <c r="D53" s="185">
        <f>-'[1]TB - Rounded'!$J$268</f>
        <v>4255</v>
      </c>
      <c r="E53" s="79"/>
    </row>
    <row r="54" spans="1:5" s="55" customFormat="1" ht="15" customHeight="1">
      <c r="A54" s="167" t="s">
        <v>153</v>
      </c>
      <c r="B54" s="168"/>
      <c r="C54" s="171"/>
      <c r="D54" s="179">
        <f>SUM(D52:D53)</f>
        <v>108022</v>
      </c>
      <c r="E54" s="79"/>
    </row>
    <row r="55" spans="1:5" s="55" customFormat="1" ht="15" customHeight="1">
      <c r="A55" s="186" t="s">
        <v>154</v>
      </c>
      <c r="B55" s="168"/>
      <c r="C55" s="171"/>
      <c r="D55" s="179">
        <f>-'[1]TB - Rounded'!$J$272</f>
        <v>19432</v>
      </c>
      <c r="E55" s="79"/>
    </row>
    <row r="56" spans="1:6" s="55" customFormat="1" ht="15" customHeight="1">
      <c r="A56" s="187" t="s">
        <v>155</v>
      </c>
      <c r="B56" s="188"/>
      <c r="C56" s="189"/>
      <c r="D56" s="183">
        <f>D47+D54+D55</f>
        <v>914965.4000000004</v>
      </c>
      <c r="E56" s="184"/>
      <c r="F56" s="190"/>
    </row>
    <row r="57" spans="1:5" s="55" customFormat="1" ht="15" customHeight="1">
      <c r="A57" s="191"/>
      <c r="B57" s="192"/>
      <c r="C57" s="192"/>
      <c r="D57" s="193"/>
      <c r="E57" s="79"/>
    </row>
    <row r="58" spans="1:5" s="55" customFormat="1" ht="15" customHeight="1">
      <c r="A58" s="191"/>
      <c r="B58" s="192"/>
      <c r="C58" s="192"/>
      <c r="D58" s="193"/>
      <c r="E58" s="79"/>
    </row>
    <row r="59" spans="1:5" s="55" customFormat="1" ht="15" customHeight="1">
      <c r="A59" s="191"/>
      <c r="B59" s="192"/>
      <c r="C59" s="192"/>
      <c r="D59" s="192"/>
      <c r="E59" s="79"/>
    </row>
    <row r="60" spans="1:5" s="55" customFormat="1" ht="15" customHeight="1">
      <c r="A60" s="191"/>
      <c r="B60" s="192"/>
      <c r="C60" s="192"/>
      <c r="D60" s="192"/>
      <c r="E60" s="79"/>
    </row>
    <row r="61" spans="1:5" s="55" customFormat="1" ht="15" customHeight="1">
      <c r="A61" s="191"/>
      <c r="B61" s="192"/>
      <c r="C61" s="192"/>
      <c r="D61" s="192"/>
      <c r="E61" s="79"/>
    </row>
    <row r="62" spans="1:5" s="55" customFormat="1" ht="15" customHeight="1">
      <c r="A62" s="191"/>
      <c r="B62" s="192"/>
      <c r="C62" s="192"/>
      <c r="D62" s="192"/>
      <c r="E62" s="79"/>
    </row>
    <row r="63" spans="1:5" s="55" customFormat="1" ht="15" customHeight="1">
      <c r="A63" s="191"/>
      <c r="B63" s="192"/>
      <c r="C63" s="192"/>
      <c r="D63" s="192"/>
      <c r="E63" s="79"/>
    </row>
    <row r="64" spans="1:5" s="55" customFormat="1" ht="15" customHeight="1">
      <c r="A64" s="191"/>
      <c r="B64" s="194"/>
      <c r="C64" s="192"/>
      <c r="D64" s="192"/>
      <c r="E64" s="79"/>
    </row>
    <row r="65" spans="1:5" s="55" customFormat="1" ht="15" customHeight="1">
      <c r="A65" s="191"/>
      <c r="B65" s="194"/>
      <c r="C65" s="192"/>
      <c r="D65" s="192"/>
      <c r="E65" s="79"/>
    </row>
    <row r="66" spans="1:5" s="55" customFormat="1" ht="15" customHeight="1">
      <c r="A66" s="191"/>
      <c r="B66" s="194"/>
      <c r="C66" s="192"/>
      <c r="D66" s="192"/>
      <c r="E66" s="79"/>
    </row>
    <row r="67" spans="1:5" s="55" customFormat="1" ht="15" customHeight="1">
      <c r="A67" s="191"/>
      <c r="B67" s="194"/>
      <c r="C67" s="195"/>
      <c r="D67" s="192"/>
      <c r="E67" s="79"/>
    </row>
    <row r="68" spans="1:5" s="55" customFormat="1" ht="15" customHeight="1">
      <c r="A68" s="191"/>
      <c r="B68" s="194"/>
      <c r="C68" s="192"/>
      <c r="D68" s="192"/>
      <c r="E68" s="79"/>
    </row>
    <row r="69" spans="2:5" s="55" customFormat="1" ht="15" customHeight="1">
      <c r="B69" s="194"/>
      <c r="C69" s="192"/>
      <c r="D69" s="192"/>
      <c r="E69" s="79"/>
    </row>
    <row r="70" spans="1:5" s="55" customFormat="1" ht="15" customHeight="1">
      <c r="A70" s="191"/>
      <c r="B70" s="194"/>
      <c r="C70" s="192"/>
      <c r="D70" s="192"/>
      <c r="E70" s="79"/>
    </row>
    <row r="71" spans="1:5" s="55" customFormat="1" ht="15" customHeight="1">
      <c r="A71" s="191"/>
      <c r="B71" s="194"/>
      <c r="C71" s="192"/>
      <c r="D71" s="192"/>
      <c r="E71" s="79"/>
    </row>
    <row r="72" spans="1:5" s="55" customFormat="1" ht="15" customHeight="1">
      <c r="A72" s="191"/>
      <c r="B72" s="196"/>
      <c r="C72" s="192"/>
      <c r="D72" s="192"/>
      <c r="E72" s="79"/>
    </row>
    <row r="73" spans="1:5" s="55" customFormat="1" ht="15" customHeight="1">
      <c r="A73" s="191"/>
      <c r="B73" s="192"/>
      <c r="C73" s="195"/>
      <c r="D73" s="192"/>
      <c r="E73" s="79"/>
    </row>
    <row r="74" spans="1:5" s="55" customFormat="1" ht="15" customHeight="1">
      <c r="A74" s="191"/>
      <c r="B74" s="192"/>
      <c r="C74" s="192"/>
      <c r="D74" s="192"/>
      <c r="E74" s="79"/>
    </row>
    <row r="75" spans="1:5" s="55" customFormat="1" ht="15" customHeight="1">
      <c r="A75" s="191"/>
      <c r="B75" s="192"/>
      <c r="C75" s="192"/>
      <c r="D75" s="192"/>
      <c r="E75" s="79"/>
    </row>
    <row r="76" spans="1:5" s="55" customFormat="1" ht="15" customHeight="1">
      <c r="A76" s="191"/>
      <c r="B76" s="192"/>
      <c r="C76" s="192"/>
      <c r="D76" s="192"/>
      <c r="E76" s="79"/>
    </row>
    <row r="77" spans="1:5" s="55" customFormat="1" ht="15" customHeight="1">
      <c r="A77" s="191"/>
      <c r="B77" s="192"/>
      <c r="C77" s="192"/>
      <c r="D77" s="192"/>
      <c r="E77" s="79"/>
    </row>
    <row r="78" spans="1:5" s="55" customFormat="1" ht="15" customHeight="1">
      <c r="A78" s="191"/>
      <c r="B78" s="192"/>
      <c r="C78" s="192"/>
      <c r="D78" s="192"/>
      <c r="E78" s="79"/>
    </row>
    <row r="79" spans="1:5" s="55" customFormat="1" ht="15" customHeight="1">
      <c r="A79" s="191"/>
      <c r="B79" s="192"/>
      <c r="C79" s="192"/>
      <c r="D79" s="192"/>
      <c r="E79" s="79"/>
    </row>
    <row r="80" spans="1:5" s="55" customFormat="1" ht="15" customHeight="1">
      <c r="A80" s="191"/>
      <c r="B80" s="192"/>
      <c r="C80" s="192"/>
      <c r="D80" s="192"/>
      <c r="E80" s="79"/>
    </row>
    <row r="81" spans="1:5" s="55" customFormat="1" ht="15" customHeight="1">
      <c r="A81" s="191"/>
      <c r="B81" s="192"/>
      <c r="C81" s="192"/>
      <c r="D81" s="192"/>
      <c r="E81" s="79"/>
    </row>
    <row r="82" spans="1:5" s="55" customFormat="1" ht="15" customHeight="1">
      <c r="A82" s="191"/>
      <c r="B82" s="192"/>
      <c r="C82" s="192"/>
      <c r="D82" s="192"/>
      <c r="E82" s="79"/>
    </row>
    <row r="83" spans="1:5" s="55" customFormat="1" ht="15" customHeight="1">
      <c r="A83" s="191"/>
      <c r="B83" s="192"/>
      <c r="C83" s="192"/>
      <c r="D83" s="192"/>
      <c r="E83" s="79"/>
    </row>
    <row r="84" spans="1:5" s="55" customFormat="1" ht="15" customHeight="1">
      <c r="A84" s="191"/>
      <c r="B84" s="192"/>
      <c r="C84" s="192"/>
      <c r="D84" s="192"/>
      <c r="E84" s="79"/>
    </row>
    <row r="85" spans="1:5" s="55" customFormat="1" ht="15" customHeight="1">
      <c r="A85" s="191"/>
      <c r="B85" s="192"/>
      <c r="C85" s="192"/>
      <c r="D85" s="192"/>
      <c r="E85" s="79"/>
    </row>
    <row r="86" spans="1:5" s="55" customFormat="1" ht="15" customHeight="1">
      <c r="A86" s="191"/>
      <c r="B86" s="192"/>
      <c r="C86" s="192"/>
      <c r="D86" s="192"/>
      <c r="E86" s="79"/>
    </row>
    <row r="87" spans="1:5" s="55" customFormat="1" ht="15" customHeight="1">
      <c r="A87" s="191"/>
      <c r="B87" s="192"/>
      <c r="C87" s="192"/>
      <c r="D87" s="192"/>
      <c r="E87" s="79"/>
    </row>
    <row r="88" spans="1:5" s="55" customFormat="1" ht="15" customHeight="1">
      <c r="A88" s="191"/>
      <c r="B88" s="192"/>
      <c r="C88" s="192"/>
      <c r="D88" s="192"/>
      <c r="E88" s="79"/>
    </row>
    <row r="89" spans="1:5" s="55" customFormat="1" ht="15" customHeight="1">
      <c r="A89" s="191"/>
      <c r="B89" s="192"/>
      <c r="C89" s="196"/>
      <c r="D89" s="196"/>
      <c r="E89" s="79"/>
    </row>
    <row r="90" spans="1:5" s="55" customFormat="1" ht="15" customHeight="1">
      <c r="A90" s="191"/>
      <c r="B90" s="192"/>
      <c r="C90" s="196"/>
      <c r="D90" s="196"/>
      <c r="E90" s="79"/>
    </row>
    <row r="91" spans="1:5" s="55" customFormat="1" ht="15" customHeight="1">
      <c r="A91" s="191"/>
      <c r="B91" s="192"/>
      <c r="C91" s="196"/>
      <c r="D91" s="196"/>
      <c r="E91" s="79"/>
    </row>
    <row r="92" spans="1:5" s="55" customFormat="1" ht="15" customHeight="1">
      <c r="A92" s="191"/>
      <c r="B92" s="196"/>
      <c r="C92" s="196"/>
      <c r="D92" s="196"/>
      <c r="E92" s="79"/>
    </row>
    <row r="93" spans="1:5" s="55" customFormat="1" ht="15" customHeight="1">
      <c r="A93" s="191"/>
      <c r="B93" s="196"/>
      <c r="C93" s="196"/>
      <c r="D93" s="196"/>
      <c r="E93" s="79"/>
    </row>
    <row r="94" spans="1:5" s="55" customFormat="1" ht="15" customHeight="1">
      <c r="A94" s="191"/>
      <c r="B94" s="196"/>
      <c r="C94" s="196"/>
      <c r="D94" s="196"/>
      <c r="E94" s="79"/>
    </row>
    <row r="95" spans="1:5" s="55" customFormat="1" ht="15" customHeight="1">
      <c r="A95" s="191"/>
      <c r="B95" s="196"/>
      <c r="C95" s="196"/>
      <c r="D95" s="196"/>
      <c r="E95" s="79"/>
    </row>
    <row r="96" spans="1:5" s="55" customFormat="1" ht="15" customHeight="1">
      <c r="A96" s="191"/>
      <c r="B96" s="196"/>
      <c r="C96" s="196"/>
      <c r="D96" s="196"/>
      <c r="E96" s="79"/>
    </row>
    <row r="97" spans="1:5" s="55" customFormat="1" ht="15" customHeight="1">
      <c r="A97" s="191"/>
      <c r="B97" s="196"/>
      <c r="C97" s="196"/>
      <c r="D97" s="196"/>
      <c r="E97" s="79"/>
    </row>
    <row r="98" spans="1:5" s="55" customFormat="1" ht="15" customHeight="1">
      <c r="A98" s="191"/>
      <c r="B98" s="196"/>
      <c r="C98" s="196"/>
      <c r="D98" s="196"/>
      <c r="E98" s="79"/>
    </row>
    <row r="99" spans="1:5" s="55" customFormat="1" ht="15" customHeight="1">
      <c r="A99" s="191"/>
      <c r="B99" s="196"/>
      <c r="C99" s="196"/>
      <c r="D99" s="196"/>
      <c r="E99" s="79"/>
    </row>
    <row r="100" spans="1:5" s="55" customFormat="1" ht="15" customHeight="1">
      <c r="A100" s="191"/>
      <c r="B100" s="196"/>
      <c r="C100" s="196"/>
      <c r="D100" s="196"/>
      <c r="E100" s="79"/>
    </row>
    <row r="101" spans="1:5" s="55" customFormat="1" ht="15" customHeight="1">
      <c r="A101" s="191"/>
      <c r="B101" s="196"/>
      <c r="C101" s="196"/>
      <c r="D101" s="196"/>
      <c r="E101" s="79"/>
    </row>
    <row r="102" spans="1:5" s="55" customFormat="1" ht="15" customHeight="1">
      <c r="A102" s="191"/>
      <c r="B102" s="196"/>
      <c r="C102" s="196"/>
      <c r="D102" s="196"/>
      <c r="E102" s="79"/>
    </row>
    <row r="103" spans="1:5" s="55" customFormat="1" ht="15" customHeight="1">
      <c r="A103" s="191"/>
      <c r="B103" s="196"/>
      <c r="C103" s="196"/>
      <c r="D103" s="196"/>
      <c r="E103" s="79"/>
    </row>
    <row r="104" spans="1:5" s="55" customFormat="1" ht="15" customHeight="1">
      <c r="A104" s="191"/>
      <c r="B104" s="196"/>
      <c r="C104" s="196"/>
      <c r="D104" s="196"/>
      <c r="E104" s="79"/>
    </row>
    <row r="105" spans="1:5" s="55" customFormat="1" ht="15" customHeight="1">
      <c r="A105" s="191"/>
      <c r="B105" s="196"/>
      <c r="C105" s="196"/>
      <c r="D105" s="196"/>
      <c r="E105" s="79"/>
    </row>
    <row r="106" spans="1:5" s="55" customFormat="1" ht="15" customHeight="1">
      <c r="A106" s="191"/>
      <c r="B106" s="196"/>
      <c r="C106" s="196"/>
      <c r="D106" s="196"/>
      <c r="E106" s="79"/>
    </row>
    <row r="107" spans="1:5" s="55" customFormat="1" ht="15" customHeight="1">
      <c r="A107" s="191"/>
      <c r="B107" s="196"/>
      <c r="C107" s="196"/>
      <c r="D107" s="196"/>
      <c r="E107" s="79"/>
    </row>
    <row r="108" spans="1:5" s="55" customFormat="1" ht="15" customHeight="1">
      <c r="A108" s="191"/>
      <c r="B108" s="196"/>
      <c r="C108" s="196"/>
      <c r="D108" s="196"/>
      <c r="E108" s="79"/>
    </row>
    <row r="109" spans="1:5" s="55" customFormat="1" ht="15" customHeight="1">
      <c r="A109" s="191"/>
      <c r="B109" s="196"/>
      <c r="C109" s="196"/>
      <c r="D109" s="196"/>
      <c r="E109" s="79"/>
    </row>
    <row r="110" spans="1:5" s="55" customFormat="1" ht="15" customHeight="1">
      <c r="A110" s="191"/>
      <c r="B110" s="196"/>
      <c r="C110" s="196"/>
      <c r="D110" s="196"/>
      <c r="E110" s="79"/>
    </row>
    <row r="111" spans="1:5" s="55" customFormat="1" ht="15" customHeight="1">
      <c r="A111" s="191"/>
      <c r="B111" s="196"/>
      <c r="C111" s="196"/>
      <c r="D111" s="196"/>
      <c r="E111" s="79"/>
    </row>
    <row r="112" spans="1:5" s="55" customFormat="1" ht="15" customHeight="1">
      <c r="A112" s="191"/>
      <c r="B112" s="196"/>
      <c r="C112" s="196"/>
      <c r="D112" s="196"/>
      <c r="E112" s="79"/>
    </row>
    <row r="113" spans="1:5" s="55" customFormat="1" ht="15" customHeight="1">
      <c r="A113" s="191"/>
      <c r="B113" s="196"/>
      <c r="C113" s="196"/>
      <c r="D113" s="196"/>
      <c r="E113" s="79"/>
    </row>
    <row r="114" spans="1:5" s="55" customFormat="1" ht="15" customHeight="1">
      <c r="A114" s="191"/>
      <c r="B114" s="196"/>
      <c r="C114" s="196"/>
      <c r="D114" s="196"/>
      <c r="E114" s="79"/>
    </row>
    <row r="115" spans="1:5" s="55" customFormat="1" ht="15" customHeight="1">
      <c r="A115" s="191"/>
      <c r="B115" s="196"/>
      <c r="C115" s="196"/>
      <c r="D115" s="196"/>
      <c r="E115" s="79"/>
    </row>
    <row r="116" spans="1:5" s="55" customFormat="1" ht="15" customHeight="1">
      <c r="A116" s="191"/>
      <c r="B116" s="196"/>
      <c r="C116" s="196"/>
      <c r="D116" s="196"/>
      <c r="E116" s="79"/>
    </row>
    <row r="117" spans="1:5" s="55" customFormat="1" ht="15" customHeight="1">
      <c r="A117" s="191"/>
      <c r="B117" s="196"/>
      <c r="C117" s="196"/>
      <c r="D117" s="196"/>
      <c r="E117" s="79"/>
    </row>
    <row r="118" spans="1:5" s="55" customFormat="1" ht="15" customHeight="1">
      <c r="A118" s="191"/>
      <c r="B118" s="196"/>
      <c r="C118" s="196"/>
      <c r="D118" s="196"/>
      <c r="E118" s="79"/>
    </row>
    <row r="119" spans="1:5" s="55" customFormat="1" ht="15" customHeight="1">
      <c r="A119" s="191"/>
      <c r="B119" s="196"/>
      <c r="C119" s="196"/>
      <c r="D119" s="196"/>
      <c r="E119" s="79"/>
    </row>
    <row r="120" spans="1:5" s="55" customFormat="1" ht="15" customHeight="1">
      <c r="A120" s="191"/>
      <c r="B120" s="196"/>
      <c r="C120" s="196"/>
      <c r="D120" s="196"/>
      <c r="E120" s="79"/>
    </row>
    <row r="121" spans="1:5" s="55" customFormat="1" ht="15" customHeight="1">
      <c r="A121" s="197"/>
      <c r="B121" s="196"/>
      <c r="C121" s="196"/>
      <c r="D121" s="196"/>
      <c r="E121" s="79"/>
    </row>
    <row r="122" spans="1:5" s="55" customFormat="1" ht="15" customHeight="1">
      <c r="A122" s="197"/>
      <c r="B122" s="196"/>
      <c r="C122" s="196"/>
      <c r="D122" s="196"/>
      <c r="E122" s="79"/>
    </row>
    <row r="123" spans="1:5" s="55" customFormat="1" ht="15" customHeight="1">
      <c r="A123" s="197"/>
      <c r="B123" s="196"/>
      <c r="C123" s="196"/>
      <c r="D123" s="196"/>
      <c r="E123" s="79"/>
    </row>
    <row r="124" spans="1:5" s="55" customFormat="1" ht="15" customHeight="1">
      <c r="A124" s="197"/>
      <c r="B124" s="196"/>
      <c r="C124" s="196"/>
      <c r="D124" s="196"/>
      <c r="E124" s="79"/>
    </row>
    <row r="125" spans="1:5" s="55" customFormat="1" ht="15" customHeight="1">
      <c r="A125" s="197"/>
      <c r="B125" s="196"/>
      <c r="C125" s="196"/>
      <c r="D125" s="196"/>
      <c r="E125" s="79"/>
    </row>
    <row r="126" spans="1:5" s="55" customFormat="1" ht="15" customHeight="1">
      <c r="A126" s="197"/>
      <c r="B126" s="196"/>
      <c r="C126" s="196"/>
      <c r="D126" s="196"/>
      <c r="E126" s="79"/>
    </row>
    <row r="127" spans="1:5" s="55" customFormat="1" ht="15" customHeight="1">
      <c r="A127" s="197"/>
      <c r="B127" s="196"/>
      <c r="C127" s="196"/>
      <c r="D127" s="196"/>
      <c r="E127" s="79"/>
    </row>
    <row r="128" ht="15" customHeight="1">
      <c r="A128" s="198"/>
    </row>
    <row r="129" s="49" customFormat="1" ht="15" customHeight="1">
      <c r="A129" s="198"/>
    </row>
    <row r="130" s="49" customFormat="1" ht="15" customHeight="1">
      <c r="A130" s="198"/>
    </row>
    <row r="131" s="49" customFormat="1" ht="15" customHeight="1">
      <c r="A131" s="198"/>
    </row>
    <row r="132" s="49" customFormat="1" ht="15" customHeight="1">
      <c r="A132" s="198"/>
    </row>
    <row r="133" s="49" customFormat="1" ht="15" customHeight="1">
      <c r="A133" s="198"/>
    </row>
    <row r="134" s="49" customFormat="1" ht="15" customHeight="1">
      <c r="A134" s="198"/>
    </row>
    <row r="135" s="49" customFormat="1" ht="15" customHeight="1">
      <c r="A135" s="198"/>
    </row>
    <row r="136" s="49" customFormat="1" ht="15" customHeight="1">
      <c r="A136" s="198"/>
    </row>
    <row r="137" s="49" customFormat="1" ht="15" customHeight="1">
      <c r="A137" s="198"/>
    </row>
    <row r="138" s="49" customFormat="1" ht="15" customHeight="1">
      <c r="A138" s="198"/>
    </row>
    <row r="139" s="49" customFormat="1" ht="15" customHeight="1">
      <c r="A139" s="198"/>
    </row>
    <row r="140" s="49" customFormat="1" ht="15" customHeight="1">
      <c r="A140" s="198"/>
    </row>
    <row r="141" s="49" customFormat="1" ht="15" customHeight="1">
      <c r="A141" s="198"/>
    </row>
    <row r="142" s="49" customFormat="1" ht="15" customHeight="1">
      <c r="A142" s="198"/>
    </row>
    <row r="143" s="49" customFormat="1" ht="15" customHeight="1">
      <c r="A143" s="198"/>
    </row>
    <row r="144" s="49" customFormat="1" ht="15" customHeight="1">
      <c r="A144" s="198"/>
    </row>
    <row r="145" s="49" customFormat="1" ht="15" customHeight="1">
      <c r="A145" s="198"/>
    </row>
    <row r="146" s="49" customFormat="1" ht="15" customHeight="1">
      <c r="A146" s="198"/>
    </row>
    <row r="147" s="49" customFormat="1" ht="15" customHeight="1">
      <c r="A147" s="198"/>
    </row>
    <row r="148" s="49" customFormat="1" ht="15" customHeight="1">
      <c r="A148" s="198"/>
    </row>
    <row r="149" s="49" customFormat="1" ht="15" customHeight="1">
      <c r="A149" s="198"/>
    </row>
    <row r="150" s="49" customFormat="1" ht="15" customHeight="1">
      <c r="A150" s="198"/>
    </row>
    <row r="151" s="49" customFormat="1" ht="15" customHeight="1">
      <c r="A151" s="198"/>
    </row>
    <row r="152" s="49" customFormat="1" ht="15" customHeight="1">
      <c r="A152" s="198"/>
    </row>
    <row r="153" s="49" customFormat="1" ht="15" customHeight="1">
      <c r="A153" s="198"/>
    </row>
    <row r="154" s="49" customFormat="1" ht="15" customHeight="1">
      <c r="A154" s="198"/>
    </row>
    <row r="155" s="49" customFormat="1" ht="15" customHeight="1">
      <c r="A155" s="198"/>
    </row>
    <row r="156" s="49" customFormat="1" ht="15" customHeight="1">
      <c r="A156" s="198"/>
    </row>
    <row r="157" s="49" customFormat="1" ht="15" customHeight="1">
      <c r="A157" s="198"/>
    </row>
    <row r="158" s="49" customFormat="1" ht="15" customHeight="1">
      <c r="A158" s="198"/>
    </row>
    <row r="159" s="49" customFormat="1" ht="15" customHeight="1">
      <c r="A159" s="198"/>
    </row>
    <row r="160" s="49" customFormat="1" ht="15" customHeight="1">
      <c r="A160" s="198"/>
    </row>
    <row r="161" s="49" customFormat="1" ht="15" customHeight="1">
      <c r="A161" s="198"/>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
      <selection activeCell="D59" sqref="D59"/>
    </sheetView>
  </sheetViews>
  <sheetFormatPr defaultColWidth="15.7109375" defaultRowHeight="15" customHeight="1"/>
  <cols>
    <col min="1" max="1" width="50.7109375" style="212" customWidth="1"/>
    <col min="2" max="6" width="18.7109375" style="240" customWidth="1"/>
    <col min="7" max="16384" width="15.7109375" style="212" customWidth="1"/>
  </cols>
  <sheetData>
    <row r="1" spans="1:6" s="204" customFormat="1" ht="30" customHeight="1">
      <c r="A1" s="201" t="s">
        <v>0</v>
      </c>
      <c r="B1" s="202"/>
      <c r="C1" s="202"/>
      <c r="D1" s="202"/>
      <c r="E1" s="202"/>
      <c r="F1" s="203"/>
    </row>
    <row r="2" spans="1:6" s="208" customFormat="1" ht="15" customHeight="1">
      <c r="A2" s="205"/>
      <c r="B2" s="206"/>
      <c r="C2" s="206"/>
      <c r="D2" s="206"/>
      <c r="E2" s="206"/>
      <c r="F2" s="207"/>
    </row>
    <row r="3" spans="1:6" ht="15" customHeight="1">
      <c r="A3" s="209" t="s">
        <v>157</v>
      </c>
      <c r="B3" s="210"/>
      <c r="C3" s="210"/>
      <c r="D3" s="210"/>
      <c r="E3" s="210"/>
      <c r="F3" s="211"/>
    </row>
    <row r="4" spans="1:6" ht="15" customHeight="1">
      <c r="A4" s="209" t="s">
        <v>109</v>
      </c>
      <c r="B4" s="210"/>
      <c r="C4" s="210"/>
      <c r="D4" s="210"/>
      <c r="E4" s="210"/>
      <c r="F4" s="211"/>
    </row>
    <row r="5" spans="1:6" s="7" customFormat="1" ht="15" customHeight="1">
      <c r="A5" s="213"/>
      <c r="B5" s="214"/>
      <c r="C5" s="214"/>
      <c r="D5" s="214"/>
      <c r="E5" s="214"/>
      <c r="F5" s="214"/>
    </row>
    <row r="6" spans="2:6" s="7" customFormat="1" ht="30" customHeight="1">
      <c r="B6" s="215" t="s">
        <v>69</v>
      </c>
      <c r="C6" s="215" t="s">
        <v>70</v>
      </c>
      <c r="D6" s="215" t="s">
        <v>71</v>
      </c>
      <c r="E6" s="215" t="s">
        <v>72</v>
      </c>
      <c r="F6" s="216" t="s">
        <v>73</v>
      </c>
    </row>
    <row r="7" spans="1:6" s="218" customFormat="1" ht="15" customHeight="1">
      <c r="A7" s="217" t="s">
        <v>158</v>
      </c>
      <c r="B7" s="214"/>
      <c r="C7" s="214"/>
      <c r="D7" s="214"/>
      <c r="E7" s="214"/>
      <c r="F7" s="214"/>
    </row>
    <row r="8" spans="1:6" s="7" customFormat="1" ht="15" customHeight="1">
      <c r="A8" s="219" t="s">
        <v>159</v>
      </c>
      <c r="B8" s="220"/>
      <c r="C8" s="220"/>
      <c r="D8" s="220"/>
      <c r="E8" s="220"/>
      <c r="F8" s="220"/>
    </row>
    <row r="9" spans="1:6" s="218" customFormat="1" ht="15" customHeight="1">
      <c r="A9" s="221" t="s">
        <v>160</v>
      </c>
      <c r="B9" s="193">
        <f>-'[1]TB - Rounded'!G216</f>
        <v>1811054</v>
      </c>
      <c r="C9" s="193">
        <f>-'[1]TB - Rounded'!G212</f>
        <v>-7164</v>
      </c>
      <c r="D9" s="195">
        <v>0</v>
      </c>
      <c r="E9" s="195">
        <v>0</v>
      </c>
      <c r="F9" s="193">
        <f>SUM(B9:E9)</f>
        <v>1803890</v>
      </c>
    </row>
    <row r="10" spans="1:6" s="7" customFormat="1" ht="15" customHeight="1">
      <c r="A10" s="221" t="s">
        <v>161</v>
      </c>
      <c r="B10" s="222">
        <f>-'[1]TB - Rounded'!G217</f>
        <v>649674</v>
      </c>
      <c r="C10" s="222">
        <f>-'[1]TB - Rounded'!G213</f>
        <v>-2815</v>
      </c>
      <c r="D10" s="195">
        <v>0</v>
      </c>
      <c r="E10" s="195">
        <v>0</v>
      </c>
      <c r="F10" s="223">
        <f>SUM(B10:E10)</f>
        <v>646859</v>
      </c>
    </row>
    <row r="11" spans="1:6" s="7" customFormat="1" ht="15" customHeight="1">
      <c r="A11" s="221" t="s">
        <v>162</v>
      </c>
      <c r="B11" s="222">
        <f>-'[1]TB - Rounded'!G218</f>
        <v>7921</v>
      </c>
      <c r="C11" s="195">
        <f>'[1]TB - Rounded'!G214</f>
        <v>0</v>
      </c>
      <c r="D11" s="195">
        <v>0</v>
      </c>
      <c r="E11" s="195">
        <v>0</v>
      </c>
      <c r="F11" s="224">
        <f>SUM(B11:E11)</f>
        <v>7921</v>
      </c>
    </row>
    <row r="12" spans="1:6" s="30" customFormat="1" ht="15" customHeight="1" thickBot="1">
      <c r="A12" s="225" t="s">
        <v>163</v>
      </c>
      <c r="B12" s="226">
        <f>SUM(B9:B11)</f>
        <v>2468649</v>
      </c>
      <c r="C12" s="227">
        <f>SUM(C9:C11)</f>
        <v>-9979</v>
      </c>
      <c r="D12" s="228">
        <f>SUM(D9:D11)</f>
        <v>0</v>
      </c>
      <c r="E12" s="228">
        <f>SUM(E9:E11)</f>
        <v>0</v>
      </c>
      <c r="F12" s="229">
        <f>SUM(F9:F11)</f>
        <v>2458670</v>
      </c>
    </row>
    <row r="13" spans="1:6" s="30" customFormat="1" ht="15" customHeight="1" thickTop="1">
      <c r="A13" s="221"/>
      <c r="B13" s="230"/>
      <c r="C13" s="230"/>
      <c r="D13" s="230"/>
      <c r="E13" s="230"/>
      <c r="F13" s="231"/>
    </row>
    <row r="14" spans="1:6" s="30" customFormat="1" ht="30" customHeight="1">
      <c r="A14" s="219" t="s">
        <v>164</v>
      </c>
      <c r="B14" s="230"/>
      <c r="C14" s="230"/>
      <c r="D14" s="230"/>
      <c r="E14" s="230"/>
      <c r="F14" s="232"/>
    </row>
    <row r="15" spans="1:6" s="30" customFormat="1" ht="15" customHeight="1">
      <c r="A15" s="221" t="s">
        <v>160</v>
      </c>
      <c r="B15" s="222">
        <f>-'[1]TB - Rounded'!I67</f>
        <v>3785796</v>
      </c>
      <c r="C15" s="195">
        <v>0</v>
      </c>
      <c r="D15" s="195">
        <v>0</v>
      </c>
      <c r="E15" s="195">
        <v>0</v>
      </c>
      <c r="F15" s="223">
        <f>SUM(B15:E15)</f>
        <v>3785796</v>
      </c>
    </row>
    <row r="16" spans="1:6" s="30" customFormat="1" ht="15" customHeight="1">
      <c r="A16" s="221" t="s">
        <v>165</v>
      </c>
      <c r="B16" s="222">
        <f>-'[1]TB - Rounded'!I68</f>
        <v>1385137</v>
      </c>
      <c r="C16" s="195">
        <v>0</v>
      </c>
      <c r="D16" s="195">
        <v>0</v>
      </c>
      <c r="E16" s="195">
        <v>0</v>
      </c>
      <c r="F16" s="223">
        <f>SUM(B16:E16)</f>
        <v>1385137</v>
      </c>
    </row>
    <row r="17" spans="1:6" s="30" customFormat="1" ht="15" customHeight="1">
      <c r="A17" s="221" t="s">
        <v>166</v>
      </c>
      <c r="B17" s="222">
        <f>-'[1]TB - Rounded'!I69</f>
        <v>13681</v>
      </c>
      <c r="C17" s="195">
        <v>0</v>
      </c>
      <c r="D17" s="195">
        <v>0</v>
      </c>
      <c r="E17" s="195">
        <v>0</v>
      </c>
      <c r="F17" s="223">
        <f>SUM(B17:E17)</f>
        <v>13681</v>
      </c>
    </row>
    <row r="18" spans="1:6" s="30" customFormat="1" ht="15" customHeight="1" thickBot="1">
      <c r="A18" s="225" t="s">
        <v>163</v>
      </c>
      <c r="B18" s="226">
        <f>SUM(B15:B17)</f>
        <v>5184614</v>
      </c>
      <c r="C18" s="228">
        <f>SUM(C15:C17)</f>
        <v>0</v>
      </c>
      <c r="D18" s="228">
        <f>SUM(D15:D17)</f>
        <v>0</v>
      </c>
      <c r="E18" s="228">
        <f>SUM(E15:E17)</f>
        <v>0</v>
      </c>
      <c r="F18" s="229">
        <f>SUM(F15:F17)</f>
        <v>5184614</v>
      </c>
    </row>
    <row r="19" spans="1:6" s="30" customFormat="1" ht="15" customHeight="1" thickTop="1">
      <c r="A19" s="221"/>
      <c r="B19" s="230"/>
      <c r="C19" s="230"/>
      <c r="D19" s="230"/>
      <c r="E19" s="230"/>
      <c r="F19" s="231"/>
    </row>
    <row r="20" spans="1:6" s="30" customFormat="1" ht="30" customHeight="1">
      <c r="A20" s="219" t="s">
        <v>167</v>
      </c>
      <c r="B20" s="233"/>
      <c r="C20" s="233"/>
      <c r="D20" s="233"/>
      <c r="E20" s="233"/>
      <c r="F20" s="232"/>
    </row>
    <row r="21" spans="1:6" s="30" customFormat="1" ht="15" customHeight="1">
      <c r="A21" s="221" t="s">
        <v>160</v>
      </c>
      <c r="B21" s="234">
        <v>3654088</v>
      </c>
      <c r="C21" s="234">
        <v>235886</v>
      </c>
      <c r="D21" s="195">
        <v>0</v>
      </c>
      <c r="E21" s="195">
        <v>0</v>
      </c>
      <c r="F21" s="223">
        <f>SUM(B21:E21)</f>
        <v>3889974</v>
      </c>
    </row>
    <row r="22" spans="1:6" s="30" customFormat="1" ht="15" customHeight="1">
      <c r="A22" s="221" t="s">
        <v>161</v>
      </c>
      <c r="B22" s="234">
        <v>1341991</v>
      </c>
      <c r="C22" s="234">
        <v>78120</v>
      </c>
      <c r="D22" s="195">
        <v>0</v>
      </c>
      <c r="E22" s="195">
        <v>0</v>
      </c>
      <c r="F22" s="223">
        <f>SUM(B22:E22)</f>
        <v>1420111</v>
      </c>
    </row>
    <row r="23" spans="1:6" s="30" customFormat="1" ht="15" customHeight="1">
      <c r="A23" s="221" t="s">
        <v>162</v>
      </c>
      <c r="B23" s="234">
        <v>11162</v>
      </c>
      <c r="C23" s="234">
        <v>807</v>
      </c>
      <c r="D23" s="195">
        <v>0</v>
      </c>
      <c r="E23" s="195">
        <v>0</v>
      </c>
      <c r="F23" s="223">
        <f>SUM(B23:E23)</f>
        <v>11969</v>
      </c>
    </row>
    <row r="24" spans="1:6" s="30" customFormat="1" ht="15" customHeight="1" thickBot="1">
      <c r="A24" s="225" t="s">
        <v>163</v>
      </c>
      <c r="B24" s="226">
        <f>SUM(B21:B23)</f>
        <v>5007241</v>
      </c>
      <c r="C24" s="226">
        <f>SUM(C21:C23)</f>
        <v>314813</v>
      </c>
      <c r="D24" s="228">
        <f>SUM(D21:D23)</f>
        <v>0</v>
      </c>
      <c r="E24" s="228">
        <f>SUM(E21:E23)</f>
        <v>0</v>
      </c>
      <c r="F24" s="229">
        <f>SUM(F21:F23)</f>
        <v>5322054</v>
      </c>
    </row>
    <row r="25" spans="1:6" s="236" customFormat="1" ht="15" customHeight="1" thickTop="1">
      <c r="A25" s="235"/>
      <c r="B25" s="230"/>
      <c r="C25" s="230"/>
      <c r="D25" s="230"/>
      <c r="E25" s="230"/>
      <c r="F25" s="232"/>
    </row>
    <row r="26" spans="1:6" s="30" customFormat="1" ht="15" customHeight="1">
      <c r="A26" s="219" t="s">
        <v>168</v>
      </c>
      <c r="B26" s="230"/>
      <c r="C26" s="230"/>
      <c r="D26" s="230"/>
      <c r="E26" s="230"/>
      <c r="F26" s="232"/>
    </row>
    <row r="27" spans="1:6" s="30" customFormat="1" ht="15" customHeight="1">
      <c r="A27" s="221" t="s">
        <v>160</v>
      </c>
      <c r="B27" s="222">
        <f aca="true" t="shared" si="0" ref="B27:E29">B9-(B15-B21)</f>
        <v>1679346</v>
      </c>
      <c r="C27" s="234">
        <f t="shared" si="0"/>
        <v>228722</v>
      </c>
      <c r="D27" s="195">
        <f t="shared" si="0"/>
        <v>0</v>
      </c>
      <c r="E27" s="195">
        <f t="shared" si="0"/>
        <v>0</v>
      </c>
      <c r="F27" s="234">
        <f>SUM(B27:E27)</f>
        <v>1908068</v>
      </c>
    </row>
    <row r="28" spans="1:6" s="30" customFormat="1" ht="15" customHeight="1">
      <c r="A28" s="221" t="s">
        <v>161</v>
      </c>
      <c r="B28" s="222">
        <f t="shared" si="0"/>
        <v>606528</v>
      </c>
      <c r="C28" s="234">
        <f t="shared" si="0"/>
        <v>75305</v>
      </c>
      <c r="D28" s="195">
        <f t="shared" si="0"/>
        <v>0</v>
      </c>
      <c r="E28" s="195">
        <f t="shared" si="0"/>
        <v>0</v>
      </c>
      <c r="F28" s="234">
        <f>SUM(B28:E28)</f>
        <v>681833</v>
      </c>
    </row>
    <row r="29" spans="1:6" s="30" customFormat="1" ht="15" customHeight="1">
      <c r="A29" s="237" t="s">
        <v>162</v>
      </c>
      <c r="B29" s="222">
        <f t="shared" si="0"/>
        <v>5402</v>
      </c>
      <c r="C29" s="223">
        <f t="shared" si="0"/>
        <v>807</v>
      </c>
      <c r="D29" s="195">
        <f t="shared" si="0"/>
        <v>0</v>
      </c>
      <c r="E29" s="195">
        <f t="shared" si="0"/>
        <v>0</v>
      </c>
      <c r="F29" s="223">
        <f>SUM(B29:E29)</f>
        <v>6209</v>
      </c>
    </row>
    <row r="30" spans="1:6" s="30" customFormat="1" ht="15" customHeight="1" thickBot="1">
      <c r="A30" s="225" t="s">
        <v>163</v>
      </c>
      <c r="B30" s="238">
        <f>SUM(B27:B29)</f>
        <v>2291276</v>
      </c>
      <c r="C30" s="238">
        <f>SUM(C27:C29)</f>
        <v>304834</v>
      </c>
      <c r="D30" s="239">
        <f>SUM(D27:D29)</f>
        <v>0</v>
      </c>
      <c r="E30" s="239">
        <f>SUM(E27:E29)</f>
        <v>0</v>
      </c>
      <c r="F30" s="238">
        <f>SUM(F27:F29)</f>
        <v>2596110</v>
      </c>
    </row>
    <row r="31" spans="2:6" s="7" customFormat="1" ht="15" customHeight="1" thickTop="1">
      <c r="B31" s="231"/>
      <c r="C31" s="231"/>
      <c r="D31" s="231"/>
      <c r="E31" s="231"/>
      <c r="F31" s="231"/>
    </row>
    <row r="32" spans="1:6" s="7" customFormat="1" ht="15" customHeight="1">
      <c r="A32" s="343" t="s">
        <v>169</v>
      </c>
      <c r="B32" s="344"/>
      <c r="C32" s="344"/>
      <c r="D32" s="344"/>
      <c r="E32" s="343"/>
      <c r="F32" s="343"/>
    </row>
    <row r="33" spans="1:6" s="7" customFormat="1" ht="15" customHeight="1">
      <c r="A33" s="343"/>
      <c r="B33" s="344"/>
      <c r="C33" s="344"/>
      <c r="D33" s="344"/>
      <c r="E33" s="343"/>
      <c r="F33" s="343"/>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D59" sqref="D59"/>
    </sheetView>
  </sheetViews>
  <sheetFormatPr defaultColWidth="15.7109375" defaultRowHeight="15" customHeight="1"/>
  <cols>
    <col min="1" max="1" width="50.7109375" style="212" customWidth="1"/>
    <col min="2" max="6" width="18.7109375" style="240" customWidth="1"/>
    <col min="7" max="16384" width="15.7109375" style="212" customWidth="1"/>
  </cols>
  <sheetData>
    <row r="1" spans="1:6" s="204" customFormat="1" ht="30" customHeight="1">
      <c r="A1" s="201" t="s">
        <v>0</v>
      </c>
      <c r="B1" s="202"/>
      <c r="C1" s="202"/>
      <c r="D1" s="202"/>
      <c r="E1" s="202"/>
      <c r="F1" s="203"/>
    </row>
    <row r="2" spans="1:6" s="208" customFormat="1" ht="15" customHeight="1">
      <c r="A2" s="205"/>
      <c r="B2" s="206"/>
      <c r="C2" s="206"/>
      <c r="D2" s="206"/>
      <c r="E2" s="206"/>
      <c r="F2" s="207"/>
    </row>
    <row r="3" spans="1:6" ht="15" customHeight="1">
      <c r="A3" s="209" t="s">
        <v>157</v>
      </c>
      <c r="B3" s="210"/>
      <c r="C3" s="210"/>
      <c r="D3" s="210"/>
      <c r="E3" s="210"/>
      <c r="F3" s="211"/>
    </row>
    <row r="4" spans="1:6" ht="15" customHeight="1">
      <c r="A4" s="209" t="s">
        <v>156</v>
      </c>
      <c r="B4" s="210"/>
      <c r="C4" s="210"/>
      <c r="D4" s="210"/>
      <c r="E4" s="210"/>
      <c r="F4" s="211"/>
    </row>
    <row r="5" spans="1:6" s="7" customFormat="1" ht="15" customHeight="1">
      <c r="A5" s="213"/>
      <c r="B5" s="214"/>
      <c r="C5" s="214"/>
      <c r="D5" s="214"/>
      <c r="E5" s="214"/>
      <c r="F5" s="214"/>
    </row>
    <row r="6" spans="2:6" s="7" customFormat="1" ht="30" customHeight="1">
      <c r="B6" s="215" t="s">
        <v>69</v>
      </c>
      <c r="C6" s="215" t="s">
        <v>70</v>
      </c>
      <c r="D6" s="215" t="s">
        <v>71</v>
      </c>
      <c r="E6" s="215" t="s">
        <v>72</v>
      </c>
      <c r="F6" s="216" t="s">
        <v>73</v>
      </c>
    </row>
    <row r="7" spans="1:6" s="7" customFormat="1" ht="15" customHeight="1">
      <c r="A7" s="217" t="s">
        <v>158</v>
      </c>
      <c r="B7" s="214"/>
      <c r="C7" s="214"/>
      <c r="D7" s="214"/>
      <c r="E7" s="214"/>
      <c r="F7" s="214"/>
    </row>
    <row r="8" spans="1:6" s="7" customFormat="1" ht="15" customHeight="1">
      <c r="A8" s="219" t="s">
        <v>159</v>
      </c>
      <c r="B8" s="220"/>
      <c r="C8" s="220"/>
      <c r="D8" s="220"/>
      <c r="E8" s="220"/>
      <c r="F8" s="220"/>
    </row>
    <row r="9" spans="1:6" s="218" customFormat="1" ht="15" customHeight="1">
      <c r="A9" s="221" t="s">
        <v>160</v>
      </c>
      <c r="B9" s="193">
        <f>-'[1]TB - Rounded'!I216</f>
        <v>7619179</v>
      </c>
      <c r="C9" s="193">
        <f>-'[1]TB - Rounded'!I212</f>
        <v>-87643</v>
      </c>
      <c r="D9" s="193">
        <f>-'[1]TB - Rounded'!I209</f>
        <v>-2700</v>
      </c>
      <c r="E9" s="195">
        <v>0</v>
      </c>
      <c r="F9" s="193">
        <f>SUM(B9:E9)</f>
        <v>7528836</v>
      </c>
    </row>
    <row r="10" spans="1:6" s="7" customFormat="1" ht="15" customHeight="1">
      <c r="A10" s="221" t="s">
        <v>161</v>
      </c>
      <c r="B10" s="222">
        <f>-'[1]TB - Rounded'!I217</f>
        <v>2742900</v>
      </c>
      <c r="C10" s="222">
        <f>-'[1]TB - Rounded'!I213</f>
        <v>-34443</v>
      </c>
      <c r="D10" s="222">
        <f>-'[1]TB - Rounded'!I210</f>
        <v>-681</v>
      </c>
      <c r="E10" s="195">
        <v>0</v>
      </c>
      <c r="F10" s="223">
        <f>SUM(B10:E10)</f>
        <v>2707776</v>
      </c>
    </row>
    <row r="11" spans="1:6" s="7" customFormat="1" ht="15" customHeight="1">
      <c r="A11" s="221" t="s">
        <v>162</v>
      </c>
      <c r="B11" s="222">
        <f>-'[1]TB - Rounded'!I218</f>
        <v>24692</v>
      </c>
      <c r="C11" s="222">
        <f>-'[1]TB - Rounded'!I214</f>
        <v>-668</v>
      </c>
      <c r="D11" s="195">
        <v>0</v>
      </c>
      <c r="E11" s="195">
        <v>0</v>
      </c>
      <c r="F11" s="224">
        <f>SUM(B11:E11)</f>
        <v>24024</v>
      </c>
    </row>
    <row r="12" spans="1:6" s="30" customFormat="1" ht="15" customHeight="1" thickBot="1">
      <c r="A12" s="225" t="s">
        <v>163</v>
      </c>
      <c r="B12" s="226">
        <f>SUM(B9:B11)</f>
        <v>10386771</v>
      </c>
      <c r="C12" s="227">
        <f>SUM(C9:C11)</f>
        <v>-122754</v>
      </c>
      <c r="D12" s="227">
        <f>SUM(D9:D11)</f>
        <v>-3381</v>
      </c>
      <c r="E12" s="228">
        <f>SUM(E9:E11)</f>
        <v>0</v>
      </c>
      <c r="F12" s="229">
        <f>SUM(F9:F11)</f>
        <v>10260636</v>
      </c>
    </row>
    <row r="13" spans="1:6" s="30" customFormat="1" ht="15" customHeight="1" thickTop="1">
      <c r="A13" s="221"/>
      <c r="B13" s="230"/>
      <c r="C13" s="230"/>
      <c r="D13" s="230"/>
      <c r="E13" s="230"/>
      <c r="F13" s="231"/>
    </row>
    <row r="14" spans="1:6" s="30" customFormat="1" ht="30" customHeight="1">
      <c r="A14" s="219" t="s">
        <v>164</v>
      </c>
      <c r="B14" s="230"/>
      <c r="C14" s="230"/>
      <c r="D14" s="230"/>
      <c r="E14" s="230"/>
      <c r="F14" s="232"/>
    </row>
    <row r="15" spans="1:6" s="30" customFormat="1" ht="15" customHeight="1">
      <c r="A15" s="221" t="s">
        <v>160</v>
      </c>
      <c r="B15" s="222">
        <f>-'[1]TB - Rounded'!I67</f>
        <v>3785796</v>
      </c>
      <c r="C15" s="195">
        <v>0</v>
      </c>
      <c r="D15" s="195">
        <v>0</v>
      </c>
      <c r="E15" s="195">
        <v>0</v>
      </c>
      <c r="F15" s="223">
        <f>SUM(B15:E15)</f>
        <v>3785796</v>
      </c>
    </row>
    <row r="16" spans="1:6" s="30" customFormat="1" ht="15" customHeight="1">
      <c r="A16" s="221" t="s">
        <v>165</v>
      </c>
      <c r="B16" s="222">
        <f>-'[1]TB - Rounded'!I68</f>
        <v>1385137</v>
      </c>
      <c r="C16" s="195">
        <v>0</v>
      </c>
      <c r="D16" s="195">
        <v>0</v>
      </c>
      <c r="E16" s="195">
        <v>0</v>
      </c>
      <c r="F16" s="223">
        <f>SUM(B16:E16)</f>
        <v>1385137</v>
      </c>
    </row>
    <row r="17" spans="1:6" s="30" customFormat="1" ht="15" customHeight="1">
      <c r="A17" s="221" t="s">
        <v>166</v>
      </c>
      <c r="B17" s="222">
        <f>-'[1]TB - Rounded'!I69</f>
        <v>13681</v>
      </c>
      <c r="C17" s="195">
        <v>0</v>
      </c>
      <c r="D17" s="195">
        <v>0</v>
      </c>
      <c r="E17" s="195">
        <v>0</v>
      </c>
      <c r="F17" s="223">
        <f>SUM(B17:E17)</f>
        <v>13681</v>
      </c>
    </row>
    <row r="18" spans="1:6" s="30" customFormat="1" ht="15" customHeight="1" thickBot="1">
      <c r="A18" s="225" t="s">
        <v>163</v>
      </c>
      <c r="B18" s="226">
        <f>SUM(B15:B17)</f>
        <v>5184614</v>
      </c>
      <c r="C18" s="228">
        <f>SUM(C15:C17)</f>
        <v>0</v>
      </c>
      <c r="D18" s="228">
        <f>SUM(D15:D17)</f>
        <v>0</v>
      </c>
      <c r="E18" s="228">
        <f>SUM(E15:E17)</f>
        <v>0</v>
      </c>
      <c r="F18" s="229">
        <f>SUM(F15:F17)</f>
        <v>5184614</v>
      </c>
    </row>
    <row r="19" spans="1:6" s="30" customFormat="1" ht="15" customHeight="1" thickTop="1">
      <c r="A19" s="221"/>
      <c r="B19" s="230"/>
      <c r="C19" s="230"/>
      <c r="D19" s="230"/>
      <c r="E19" s="230"/>
      <c r="F19" s="231"/>
    </row>
    <row r="20" spans="1:6" s="30" customFormat="1" ht="30" customHeight="1">
      <c r="A20" s="219" t="s">
        <v>170</v>
      </c>
      <c r="B20" s="233"/>
      <c r="C20" s="233"/>
      <c r="D20" s="233"/>
      <c r="E20" s="233"/>
      <c r="F20" s="232"/>
    </row>
    <row r="21" spans="1:6" s="30" customFormat="1" ht="15" customHeight="1">
      <c r="A21" s="221" t="s">
        <v>160</v>
      </c>
      <c r="B21" s="195">
        <v>0</v>
      </c>
      <c r="C21" s="234">
        <v>4005840</v>
      </c>
      <c r="D21" s="195">
        <v>0</v>
      </c>
      <c r="E21" s="195">
        <v>0</v>
      </c>
      <c r="F21" s="223">
        <f>SUM(B21:E21)</f>
        <v>4005840</v>
      </c>
    </row>
    <row r="22" spans="1:6" s="30" customFormat="1" ht="15" customHeight="1">
      <c r="A22" s="221" t="s">
        <v>161</v>
      </c>
      <c r="B22" s="195">
        <v>0</v>
      </c>
      <c r="C22" s="234">
        <v>1398752.48</v>
      </c>
      <c r="D22" s="195">
        <v>0</v>
      </c>
      <c r="E22" s="195">
        <v>0</v>
      </c>
      <c r="F22" s="223">
        <f>SUM(B22:E22)</f>
        <v>1398752.48</v>
      </c>
    </row>
    <row r="23" spans="1:6" s="30" customFormat="1" ht="15" customHeight="1">
      <c r="A23" s="221" t="s">
        <v>162</v>
      </c>
      <c r="B23" s="195">
        <v>0</v>
      </c>
      <c r="C23" s="234">
        <v>14637.1</v>
      </c>
      <c r="D23" s="195">
        <v>0</v>
      </c>
      <c r="E23" s="195">
        <v>0</v>
      </c>
      <c r="F23" s="223">
        <f>SUM(B23:E23)</f>
        <v>14637.1</v>
      </c>
    </row>
    <row r="24" spans="1:6" s="30" customFormat="1" ht="15" customHeight="1" thickBot="1">
      <c r="A24" s="225" t="s">
        <v>163</v>
      </c>
      <c r="B24" s="241">
        <f>SUM(B21:B23)</f>
        <v>0</v>
      </c>
      <c r="C24" s="226">
        <f>SUM(C21:C23)-1</f>
        <v>5419228.58</v>
      </c>
      <c r="D24" s="228">
        <f>SUM(D21:D23)</f>
        <v>0</v>
      </c>
      <c r="E24" s="228">
        <f>SUM(E21:E23)</f>
        <v>0</v>
      </c>
      <c r="F24" s="229">
        <f>SUM(F21:F23)-1</f>
        <v>5419228.58</v>
      </c>
    </row>
    <row r="25" spans="1:6" s="236" customFormat="1" ht="15" customHeight="1" thickTop="1">
      <c r="A25" s="235"/>
      <c r="B25" s="230"/>
      <c r="C25" s="230"/>
      <c r="D25" s="230"/>
      <c r="E25" s="230"/>
      <c r="F25" s="232"/>
    </row>
    <row r="26" spans="1:6" s="30" customFormat="1" ht="15" customHeight="1">
      <c r="A26" s="219" t="s">
        <v>168</v>
      </c>
      <c r="B26" s="230"/>
      <c r="C26" s="230"/>
      <c r="D26" s="230"/>
      <c r="E26" s="230"/>
      <c r="F26" s="232"/>
    </row>
    <row r="27" spans="1:6" s="30" customFormat="1" ht="15" customHeight="1">
      <c r="A27" s="221" t="s">
        <v>160</v>
      </c>
      <c r="B27" s="234">
        <f aca="true" t="shared" si="0" ref="B27:E29">B9-(B15-B21)</f>
        <v>3833383</v>
      </c>
      <c r="C27" s="234">
        <f t="shared" si="0"/>
        <v>3918197</v>
      </c>
      <c r="D27" s="222">
        <f t="shared" si="0"/>
        <v>-2700</v>
      </c>
      <c r="E27" s="195">
        <f t="shared" si="0"/>
        <v>0</v>
      </c>
      <c r="F27" s="234">
        <f>SUM(B27:E27)</f>
        <v>7748880</v>
      </c>
    </row>
    <row r="28" spans="1:6" s="30" customFormat="1" ht="15" customHeight="1">
      <c r="A28" s="221" t="s">
        <v>161</v>
      </c>
      <c r="B28" s="234">
        <f t="shared" si="0"/>
        <v>1357763</v>
      </c>
      <c r="C28" s="234">
        <f t="shared" si="0"/>
        <v>1364309.48</v>
      </c>
      <c r="D28" s="222">
        <f t="shared" si="0"/>
        <v>-681</v>
      </c>
      <c r="E28" s="195">
        <f t="shared" si="0"/>
        <v>0</v>
      </c>
      <c r="F28" s="234">
        <f>SUM(B28:E28)</f>
        <v>2721391.48</v>
      </c>
    </row>
    <row r="29" spans="1:6" s="30" customFormat="1" ht="15" customHeight="1">
      <c r="A29" s="237" t="s">
        <v>162</v>
      </c>
      <c r="B29" s="223">
        <f t="shared" si="0"/>
        <v>11011</v>
      </c>
      <c r="C29" s="223">
        <f t="shared" si="0"/>
        <v>13969.1</v>
      </c>
      <c r="D29" s="195">
        <f t="shared" si="0"/>
        <v>0</v>
      </c>
      <c r="E29" s="195">
        <f t="shared" si="0"/>
        <v>0</v>
      </c>
      <c r="F29" s="223">
        <f>SUM(B29:E29)</f>
        <v>24980.1</v>
      </c>
    </row>
    <row r="30" spans="1:6" s="30" customFormat="1" ht="15" customHeight="1" thickBot="1">
      <c r="A30" s="225" t="s">
        <v>163</v>
      </c>
      <c r="B30" s="238">
        <f>SUM(B27:B29)</f>
        <v>5202157</v>
      </c>
      <c r="C30" s="238">
        <f>SUM(C27:C29)-1</f>
        <v>5296474.58</v>
      </c>
      <c r="D30" s="238">
        <f>SUM(D27:D29)</f>
        <v>-3381</v>
      </c>
      <c r="E30" s="239">
        <f>SUM(E27:E29)</f>
        <v>0</v>
      </c>
      <c r="F30" s="238">
        <f>SUM(F27:F29)-1</f>
        <v>10495250.58</v>
      </c>
    </row>
    <row r="31" spans="1:6" s="30" customFormat="1" ht="15" customHeight="1" thickTop="1">
      <c r="A31" s="225"/>
      <c r="B31" s="21"/>
      <c r="C31" s="21"/>
      <c r="D31" s="21"/>
      <c r="E31" s="242"/>
      <c r="F31" s="21"/>
    </row>
    <row r="32" spans="1:6" s="243" customFormat="1" ht="19.5" customHeight="1">
      <c r="A32" s="345" t="s">
        <v>171</v>
      </c>
      <c r="B32" s="345"/>
      <c r="C32" s="345"/>
      <c r="D32" s="345"/>
      <c r="E32" s="345"/>
      <c r="F32" s="345"/>
    </row>
    <row r="33" spans="1:6" s="243" customFormat="1" ht="19.5" customHeight="1">
      <c r="A33" s="345"/>
      <c r="B33" s="345"/>
      <c r="C33" s="345"/>
      <c r="D33" s="345"/>
      <c r="E33" s="345"/>
      <c r="F33" s="345"/>
    </row>
    <row r="34" spans="1:6" s="243" customFormat="1" ht="19.5" customHeight="1">
      <c r="A34" s="345"/>
      <c r="B34" s="345"/>
      <c r="C34" s="345"/>
      <c r="D34" s="345"/>
      <c r="E34" s="345"/>
      <c r="F34" s="345"/>
    </row>
    <row r="35" spans="1:6" s="247" customFormat="1" ht="15" customHeight="1">
      <c r="A35" s="244"/>
      <c r="B35" s="346" t="s">
        <v>172</v>
      </c>
      <c r="C35" s="245"/>
      <c r="D35" s="246"/>
      <c r="E35" s="346" t="s">
        <v>172</v>
      </c>
      <c r="F35" s="245"/>
    </row>
    <row r="36" spans="1:6" s="247" customFormat="1" ht="15" customHeight="1">
      <c r="A36" s="248" t="s">
        <v>173</v>
      </c>
      <c r="B36" s="346"/>
      <c r="C36" s="249" t="s">
        <v>174</v>
      </c>
      <c r="D36" s="245" t="s">
        <v>173</v>
      </c>
      <c r="E36" s="346"/>
      <c r="F36" s="249" t="s">
        <v>174</v>
      </c>
    </row>
    <row r="37" spans="1:6" s="253" customFormat="1" ht="15" customHeight="1">
      <c r="A37" s="250" t="s">
        <v>175</v>
      </c>
      <c r="B37" s="251">
        <v>826529.9099999999</v>
      </c>
      <c r="C37" s="251">
        <f>B37+120676</f>
        <v>947205.9099999999</v>
      </c>
      <c r="D37" s="250" t="s">
        <v>176</v>
      </c>
      <c r="E37" s="252">
        <v>822285.8200000001</v>
      </c>
      <c r="F37" s="251">
        <f>E37+103113</f>
        <v>925398.8200000001</v>
      </c>
    </row>
    <row r="38" spans="1:7" s="253" customFormat="1" ht="15" customHeight="1">
      <c r="A38" s="250" t="s">
        <v>177</v>
      </c>
      <c r="B38" s="251">
        <v>829319.6000000001</v>
      </c>
      <c r="C38" s="251">
        <f>B38+118191</f>
        <v>947510.6000000001</v>
      </c>
      <c r="D38" s="250" t="s">
        <v>178</v>
      </c>
      <c r="E38" s="252">
        <v>822621.2</v>
      </c>
      <c r="F38" s="251">
        <f>E38+102393</f>
        <v>925014.2</v>
      </c>
      <c r="G38" s="254"/>
    </row>
    <row r="39" spans="1:7" s="253" customFormat="1" ht="15" customHeight="1">
      <c r="A39" s="250" t="s">
        <v>179</v>
      </c>
      <c r="B39" s="251">
        <v>839761.3999999999</v>
      </c>
      <c r="C39" s="251">
        <f>B39+115639</f>
        <v>955400.3999999999</v>
      </c>
      <c r="D39" s="250" t="s">
        <v>180</v>
      </c>
      <c r="E39" s="252">
        <v>832220.6200000001</v>
      </c>
      <c r="F39" s="251">
        <f>E39+104201</f>
        <v>936421.6200000001</v>
      </c>
      <c r="G39" s="254"/>
    </row>
    <row r="40" spans="1:7" s="253" customFormat="1" ht="15" customHeight="1">
      <c r="A40" s="250" t="s">
        <v>181</v>
      </c>
      <c r="B40" s="251">
        <v>853289.74</v>
      </c>
      <c r="C40" s="251">
        <f>B40+107740</f>
        <v>961029.74</v>
      </c>
      <c r="D40" s="250" t="s">
        <v>182</v>
      </c>
      <c r="E40" s="252">
        <v>813663.6599999999</v>
      </c>
      <c r="F40" s="251">
        <f>E40+101431</f>
        <v>915094.6599999999</v>
      </c>
      <c r="G40" s="254"/>
    </row>
    <row r="41" spans="1:6" s="258" customFormat="1" ht="15" customHeight="1">
      <c r="A41" s="255"/>
      <c r="B41" s="256"/>
      <c r="C41" s="256"/>
      <c r="D41" s="256"/>
      <c r="E41" s="255"/>
      <c r="F41" s="257"/>
    </row>
    <row r="42" spans="1:6" s="258" customFormat="1" ht="15" customHeight="1">
      <c r="A42" s="345" t="s">
        <v>183</v>
      </c>
      <c r="B42" s="345"/>
      <c r="C42" s="345"/>
      <c r="D42" s="345"/>
      <c r="E42" s="345"/>
      <c r="F42" s="345"/>
    </row>
    <row r="43" spans="1:6" s="258" customFormat="1" ht="15" customHeight="1">
      <c r="A43" s="345"/>
      <c r="B43" s="345"/>
      <c r="C43" s="345"/>
      <c r="D43" s="345"/>
      <c r="E43" s="345"/>
      <c r="F43" s="345"/>
    </row>
    <row r="44" spans="1:6" s="258" customFormat="1" ht="15" customHeight="1">
      <c r="A44" s="255"/>
      <c r="B44" s="256"/>
      <c r="C44" s="256"/>
      <c r="D44" s="256"/>
      <c r="E44" s="255"/>
      <c r="F44" s="257"/>
    </row>
    <row r="45" spans="1:6" s="258" customFormat="1" ht="15" customHeight="1">
      <c r="A45" s="255"/>
      <c r="B45" s="256"/>
      <c r="C45" s="256"/>
      <c r="D45" s="256"/>
      <c r="E45" s="255"/>
      <c r="F45" s="257"/>
    </row>
    <row r="46" spans="1:6" s="258" customFormat="1" ht="15" customHeight="1">
      <c r="A46" s="255"/>
      <c r="B46" s="256"/>
      <c r="C46" s="256"/>
      <c r="D46" s="256"/>
      <c r="E46" s="255"/>
      <c r="F46" s="257"/>
    </row>
    <row r="47" spans="1:6" s="258" customFormat="1" ht="15" customHeight="1">
      <c r="A47" s="255"/>
      <c r="B47" s="256"/>
      <c r="C47" s="256"/>
      <c r="D47" s="256"/>
      <c r="E47" s="255"/>
      <c r="F47" s="257"/>
    </row>
    <row r="48" spans="1:6" s="258" customFormat="1" ht="15" customHeight="1">
      <c r="A48" s="255"/>
      <c r="B48" s="256"/>
      <c r="C48" s="256"/>
      <c r="D48" s="256"/>
      <c r="E48" s="255"/>
      <c r="F48" s="257"/>
    </row>
    <row r="49" spans="1:6" s="258" customFormat="1" ht="15" customHeight="1">
      <c r="A49" s="255"/>
      <c r="B49" s="256"/>
      <c r="C49" s="256"/>
      <c r="D49" s="256"/>
      <c r="E49" s="255"/>
      <c r="F49" s="257"/>
    </row>
    <row r="50" spans="1:6" s="258" customFormat="1" ht="15" customHeight="1">
      <c r="A50" s="255"/>
      <c r="B50" s="256"/>
      <c r="C50" s="256"/>
      <c r="D50" s="256"/>
      <c r="E50" s="255"/>
      <c r="F50" s="257"/>
    </row>
    <row r="51" spans="1:6" s="258" customFormat="1" ht="15" customHeight="1">
      <c r="A51" s="255"/>
      <c r="B51" s="256"/>
      <c r="C51" s="256"/>
      <c r="D51" s="256"/>
      <c r="E51" s="255"/>
      <c r="F51" s="257"/>
    </row>
    <row r="52" spans="1:6" s="258" customFormat="1" ht="15" customHeight="1">
      <c r="A52" s="255"/>
      <c r="B52" s="256"/>
      <c r="C52" s="256"/>
      <c r="D52" s="256"/>
      <c r="E52" s="255"/>
      <c r="F52" s="257"/>
    </row>
    <row r="53" spans="1:6" s="258" customFormat="1" ht="15" customHeight="1">
      <c r="A53" s="255"/>
      <c r="B53" s="256"/>
      <c r="C53" s="256"/>
      <c r="D53" s="256"/>
      <c r="E53" s="255"/>
      <c r="F53" s="257"/>
    </row>
    <row r="54" spans="1:6" s="258" customFormat="1" ht="15" customHeight="1">
      <c r="A54" s="255"/>
      <c r="B54" s="256"/>
      <c r="C54" s="256"/>
      <c r="D54" s="256"/>
      <c r="E54" s="255"/>
      <c r="F54" s="257"/>
    </row>
    <row r="55" spans="1:6" s="258" customFormat="1" ht="15" customHeight="1">
      <c r="A55" s="255"/>
      <c r="B55" s="256"/>
      <c r="C55" s="256"/>
      <c r="D55" s="256"/>
      <c r="E55" s="255"/>
      <c r="F55" s="257"/>
    </row>
    <row r="56" spans="1:6" s="258" customFormat="1" ht="15" customHeight="1">
      <c r="A56" s="255"/>
      <c r="B56" s="256"/>
      <c r="C56" s="256"/>
      <c r="D56" s="256"/>
      <c r="E56" s="255"/>
      <c r="F56" s="257"/>
    </row>
    <row r="57" spans="1:6" s="258" customFormat="1" ht="15" customHeight="1">
      <c r="A57" s="255"/>
      <c r="B57" s="256"/>
      <c r="C57" s="256"/>
      <c r="D57" s="256"/>
      <c r="E57" s="255"/>
      <c r="F57" s="257"/>
    </row>
    <row r="58" spans="1:6" s="258" customFormat="1" ht="15" customHeight="1">
      <c r="A58" s="255"/>
      <c r="B58" s="256"/>
      <c r="C58" s="256"/>
      <c r="D58" s="256"/>
      <c r="E58" s="255"/>
      <c r="F58" s="257"/>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D59" sqref="D59"/>
    </sheetView>
  </sheetViews>
  <sheetFormatPr defaultColWidth="15.7109375" defaultRowHeight="15" customHeight="1"/>
  <cols>
    <col min="1" max="1" width="59.00390625" style="266" customWidth="1"/>
    <col min="2" max="4" width="16.7109375" style="291" customWidth="1"/>
    <col min="5" max="6" width="16.7109375" style="285" customWidth="1"/>
    <col min="7" max="16384" width="15.7109375" style="190" customWidth="1"/>
  </cols>
  <sheetData>
    <row r="1" spans="1:6" s="259" customFormat="1" ht="24.75" customHeight="1">
      <c r="A1" s="347" t="s">
        <v>0</v>
      </c>
      <c r="B1" s="347"/>
      <c r="C1" s="347"/>
      <c r="D1" s="347"/>
      <c r="E1" s="347"/>
      <c r="F1" s="347"/>
    </row>
    <row r="2" spans="1:6" s="262" customFormat="1" ht="15" customHeight="1">
      <c r="A2" s="260"/>
      <c r="B2" s="261"/>
      <c r="C2" s="261"/>
      <c r="D2" s="261"/>
      <c r="E2" s="261"/>
      <c r="F2" s="261"/>
    </row>
    <row r="3" spans="1:6" s="263" customFormat="1" ht="15" customHeight="1">
      <c r="A3" s="348" t="s">
        <v>184</v>
      </c>
      <c r="B3" s="348"/>
      <c r="C3" s="348"/>
      <c r="D3" s="348"/>
      <c r="E3" s="348"/>
      <c r="F3" s="348"/>
    </row>
    <row r="4" spans="1:6" s="263" customFormat="1" ht="15" customHeight="1">
      <c r="A4" s="348" t="s">
        <v>68</v>
      </c>
      <c r="B4" s="348"/>
      <c r="C4" s="348"/>
      <c r="D4" s="348"/>
      <c r="E4" s="348"/>
      <c r="F4" s="348"/>
    </row>
    <row r="5" spans="1:6" s="265" customFormat="1" ht="15" customHeight="1">
      <c r="A5" s="260"/>
      <c r="B5" s="264"/>
      <c r="C5" s="264"/>
      <c r="D5" s="264"/>
      <c r="E5" s="261"/>
      <c r="F5" s="261"/>
    </row>
    <row r="6" spans="2:6" ht="30" customHeight="1">
      <c r="B6" s="215" t="s">
        <v>69</v>
      </c>
      <c r="C6" s="215" t="s">
        <v>70</v>
      </c>
      <c r="D6" s="215" t="s">
        <v>71</v>
      </c>
      <c r="E6" s="215" t="s">
        <v>72</v>
      </c>
      <c r="F6" s="215" t="s">
        <v>73</v>
      </c>
    </row>
    <row r="7" spans="1:6" ht="15" customHeight="1">
      <c r="A7" s="267" t="s">
        <v>185</v>
      </c>
      <c r="B7" s="268"/>
      <c r="C7" s="268"/>
      <c r="D7" s="268"/>
      <c r="E7" s="268"/>
      <c r="F7" s="268"/>
    </row>
    <row r="8" spans="1:6" ht="15" customHeight="1">
      <c r="A8" s="267" t="s">
        <v>186</v>
      </c>
      <c r="B8" s="269"/>
      <c r="C8" s="269"/>
      <c r="D8" s="269"/>
      <c r="E8" s="269"/>
      <c r="F8" s="269"/>
    </row>
    <row r="9" spans="1:6" ht="15" customHeight="1">
      <c r="A9" s="270" t="s">
        <v>187</v>
      </c>
      <c r="B9" s="193">
        <f>'[1]Loss Expenses Paid QTD-15'!E21</f>
        <v>508852</v>
      </c>
      <c r="C9" s="193">
        <f>'[1]Loss Expenses Paid QTD-15'!E15</f>
        <v>364824</v>
      </c>
      <c r="D9" s="193">
        <f>'[1]Loss Expenses Paid QTD-15'!E9+'[1]TB - Rounded'!$G$286</f>
        <v>178119</v>
      </c>
      <c r="E9" s="195">
        <v>0</v>
      </c>
      <c r="F9" s="193">
        <f>SUM(B9:E9)</f>
        <v>1051795</v>
      </c>
    </row>
    <row r="10" spans="1:6" ht="15" customHeight="1">
      <c r="A10" s="270" t="s">
        <v>161</v>
      </c>
      <c r="B10" s="271">
        <f>'[1]Loss Expenses Paid QTD-15'!E22</f>
        <v>43375</v>
      </c>
      <c r="C10" s="271">
        <f>'[1]Loss Expenses Paid QTD-15'!E16</f>
        <v>94860</v>
      </c>
      <c r="D10" s="271">
        <f>'[1]Loss Expenses Paid QTD-15'!E10+'[1]TB - Rounded'!$G$287</f>
        <v>14391</v>
      </c>
      <c r="E10" s="195">
        <v>0</v>
      </c>
      <c r="F10" s="271">
        <f>SUM(B10:E10)</f>
        <v>152626</v>
      </c>
    </row>
    <row r="11" spans="1:6" ht="15" customHeight="1">
      <c r="A11" s="270" t="s">
        <v>162</v>
      </c>
      <c r="B11" s="195">
        <f>'[1]Loss Expenses Paid QTD-15'!E23</f>
        <v>0</v>
      </c>
      <c r="C11" s="195">
        <f>'[1]Loss Expenses Paid QTD-15'!E17</f>
        <v>0</v>
      </c>
      <c r="D11" s="195">
        <f>'[1]Loss Expenses Paid QTD-15'!E11</f>
        <v>0</v>
      </c>
      <c r="E11" s="195">
        <v>0</v>
      </c>
      <c r="F11" s="195">
        <f>SUM(B11:E11)</f>
        <v>0</v>
      </c>
    </row>
    <row r="12" spans="1:6" ht="15" customHeight="1" thickBot="1">
      <c r="A12" s="272" t="s">
        <v>163</v>
      </c>
      <c r="B12" s="147">
        <f>SUM(B9:B11)</f>
        <v>552227</v>
      </c>
      <c r="C12" s="147">
        <f>SUM(C9:C11)</f>
        <v>459684</v>
      </c>
      <c r="D12" s="147">
        <f>SUM(D9:D11)</f>
        <v>192510</v>
      </c>
      <c r="E12" s="228">
        <f>SUM(E9:E11)</f>
        <v>0</v>
      </c>
      <c r="F12" s="273">
        <f>SUM(F9:F11)</f>
        <v>1204421</v>
      </c>
    </row>
    <row r="13" spans="1:6" ht="15" customHeight="1" thickTop="1">
      <c r="A13" s="267"/>
      <c r="B13" s="274"/>
      <c r="C13" s="274"/>
      <c r="D13" s="274"/>
      <c r="E13" s="275"/>
      <c r="F13" s="276"/>
    </row>
    <row r="14" spans="1:6" ht="15" customHeight="1">
      <c r="A14" s="267" t="s">
        <v>188</v>
      </c>
      <c r="B14" s="274"/>
      <c r="C14" s="274"/>
      <c r="D14" s="274"/>
      <c r="E14" s="275"/>
      <c r="F14" s="276"/>
    </row>
    <row r="15" spans="1:6" ht="15" customHeight="1">
      <c r="A15" s="270" t="s">
        <v>189</v>
      </c>
      <c r="B15" s="271">
        <f>'[1]Unpaid Loss Reserves-13'!B9</f>
        <v>994064</v>
      </c>
      <c r="C15" s="271">
        <f>'[1]Unpaid Loss Reserves-13'!C9</f>
        <v>148170</v>
      </c>
      <c r="D15" s="271">
        <f>'[1]Unpaid Loss Reserves-13'!D9</f>
        <v>51262</v>
      </c>
      <c r="E15" s="195">
        <v>0</v>
      </c>
      <c r="F15" s="271">
        <f>SUM(B15:E15)</f>
        <v>1193496</v>
      </c>
    </row>
    <row r="16" spans="1:6" ht="15" customHeight="1">
      <c r="A16" s="270" t="s">
        <v>190</v>
      </c>
      <c r="B16" s="271">
        <f>'[1]Unpaid Loss Reserves-13'!B10</f>
        <v>73000</v>
      </c>
      <c r="C16" s="271">
        <f>'[1]Unpaid Loss Reserves-13'!C10</f>
        <v>12500</v>
      </c>
      <c r="D16" s="195">
        <f>'[1]Unpaid Loss Reserves-13'!D10</f>
        <v>0</v>
      </c>
      <c r="E16" s="195">
        <v>0</v>
      </c>
      <c r="F16" s="271">
        <f>SUM(B16:E16)</f>
        <v>85500</v>
      </c>
    </row>
    <row r="17" spans="1:6" ht="15" customHeight="1">
      <c r="A17" s="270" t="s">
        <v>191</v>
      </c>
      <c r="B17" s="195">
        <f>'[1]Unpaid Loss Reserves-13'!B11</f>
        <v>0</v>
      </c>
      <c r="C17" s="195">
        <f>'[1]Unpaid Loss Reserves-13'!C11</f>
        <v>0</v>
      </c>
      <c r="D17" s="195">
        <f>'[1]Unpaid Loss Reserves-13'!D11</f>
        <v>0</v>
      </c>
      <c r="E17" s="195">
        <v>0</v>
      </c>
      <c r="F17" s="195">
        <f>SUM(B17:E17)</f>
        <v>0</v>
      </c>
    </row>
    <row r="18" spans="1:6" ht="15" customHeight="1" thickBot="1">
      <c r="A18" s="272" t="s">
        <v>163</v>
      </c>
      <c r="B18" s="147">
        <f>SUM(B15:B17)</f>
        <v>1067064</v>
      </c>
      <c r="C18" s="147">
        <f>SUM(C15:C17)</f>
        <v>160670</v>
      </c>
      <c r="D18" s="147">
        <f>SUM(D15:D17)</f>
        <v>51262</v>
      </c>
      <c r="E18" s="228">
        <f>SUM(E15:E17)</f>
        <v>0</v>
      </c>
      <c r="F18" s="273">
        <f>SUM(F15:F17)</f>
        <v>1278996</v>
      </c>
    </row>
    <row r="19" spans="1:6" ht="15" customHeight="1" thickTop="1">
      <c r="A19" s="267"/>
      <c r="B19" s="105"/>
      <c r="C19" s="105"/>
      <c r="D19" s="105"/>
      <c r="E19" s="277"/>
      <c r="F19" s="278"/>
    </row>
    <row r="20" spans="1:6" ht="15" customHeight="1">
      <c r="A20" s="267" t="s">
        <v>192</v>
      </c>
      <c r="B20" s="275"/>
      <c r="C20" s="275"/>
      <c r="D20" s="275"/>
      <c r="E20" s="275"/>
      <c r="F20" s="279"/>
    </row>
    <row r="21" spans="1:6" ht="15" customHeight="1">
      <c r="A21" s="270" t="s">
        <v>189</v>
      </c>
      <c r="B21" s="271">
        <f>'[1]Unpaid Loss Reserves-13'!B16</f>
        <v>420316</v>
      </c>
      <c r="C21" s="271">
        <f>'[1]Unpaid Loss Reserves-13'!C16</f>
        <v>78606</v>
      </c>
      <c r="D21" s="195">
        <f>'[1]Unpaid Loss Reserves-13'!D16</f>
        <v>0</v>
      </c>
      <c r="E21" s="195">
        <v>0</v>
      </c>
      <c r="F21" s="271">
        <f>SUM(B21:E21)</f>
        <v>498922</v>
      </c>
    </row>
    <row r="22" spans="1:6" ht="15" customHeight="1">
      <c r="A22" s="270" t="s">
        <v>190</v>
      </c>
      <c r="B22" s="271">
        <f>'[1]Unpaid Loss Reserves-13'!B17</f>
        <v>30866</v>
      </c>
      <c r="C22" s="271">
        <f>'[1]Unpaid Loss Reserves-13'!C17</f>
        <v>6631</v>
      </c>
      <c r="D22" s="195">
        <f>'[1]Unpaid Loss Reserves-13'!D17</f>
        <v>0</v>
      </c>
      <c r="E22" s="195">
        <v>0</v>
      </c>
      <c r="F22" s="271">
        <f>SUM(B22:E22)</f>
        <v>37497</v>
      </c>
    </row>
    <row r="23" spans="1:6" ht="15" customHeight="1">
      <c r="A23" s="270" t="s">
        <v>191</v>
      </c>
      <c r="B23" s="195">
        <f>'[1]Unpaid Loss Reserves-13'!B18</f>
        <v>0</v>
      </c>
      <c r="C23" s="195">
        <f>'[1]Unpaid Loss Reserves-13'!C18</f>
        <v>0</v>
      </c>
      <c r="D23" s="195">
        <f>'[1]Unpaid Loss Reserves-13'!D18</f>
        <v>0</v>
      </c>
      <c r="E23" s="195">
        <v>0</v>
      </c>
      <c r="F23" s="195">
        <f>SUM(B23:E23)</f>
        <v>0</v>
      </c>
    </row>
    <row r="24" spans="1:6" ht="15" customHeight="1" thickBot="1">
      <c r="A24" s="272" t="s">
        <v>163</v>
      </c>
      <c r="B24" s="147">
        <f>SUM(B21:B23)</f>
        <v>451182</v>
      </c>
      <c r="C24" s="147">
        <f>SUM(C21:C23)</f>
        <v>85237</v>
      </c>
      <c r="D24" s="228">
        <f>SUM(D21:D23)</f>
        <v>0</v>
      </c>
      <c r="E24" s="228">
        <f>SUM(E21:E23)</f>
        <v>0</v>
      </c>
      <c r="F24" s="273">
        <f>SUM(F21:F23)</f>
        <v>536419</v>
      </c>
    </row>
    <row r="25" spans="1:6" ht="15" customHeight="1" thickTop="1">
      <c r="A25" s="267"/>
      <c r="B25" s="274"/>
      <c r="C25" s="274"/>
      <c r="D25" s="274"/>
      <c r="E25" s="275"/>
      <c r="F25" s="276"/>
    </row>
    <row r="26" spans="1:6" ht="15" customHeight="1">
      <c r="A26" s="267" t="s">
        <v>193</v>
      </c>
      <c r="B26" s="280"/>
      <c r="C26" s="280"/>
      <c r="D26" s="280"/>
      <c r="E26" s="275"/>
      <c r="F26" s="276"/>
    </row>
    <row r="27" spans="1:6" ht="15" customHeight="1">
      <c r="A27" s="267" t="s">
        <v>194</v>
      </c>
      <c r="B27" s="280"/>
      <c r="C27" s="280"/>
      <c r="D27" s="280"/>
      <c r="E27" s="275"/>
      <c r="F27" s="276"/>
    </row>
    <row r="28" spans="1:6" ht="15" customHeight="1">
      <c r="A28" s="270" t="s">
        <v>189</v>
      </c>
      <c r="B28" s="271">
        <v>891623</v>
      </c>
      <c r="C28" s="271">
        <v>579881</v>
      </c>
      <c r="D28" s="271">
        <v>275318</v>
      </c>
      <c r="E28" s="195">
        <v>0</v>
      </c>
      <c r="F28" s="271">
        <f>SUM(B28:E28)</f>
        <v>1746822</v>
      </c>
    </row>
    <row r="29" spans="1:6" ht="15" customHeight="1">
      <c r="A29" s="270" t="s">
        <v>190</v>
      </c>
      <c r="B29" s="271">
        <v>101824</v>
      </c>
      <c r="C29" s="271">
        <v>143392</v>
      </c>
      <c r="D29" s="271">
        <v>55319</v>
      </c>
      <c r="E29" s="195">
        <v>0</v>
      </c>
      <c r="F29" s="271">
        <f>SUM(B29:E29)</f>
        <v>300535</v>
      </c>
    </row>
    <row r="30" spans="1:6" ht="15" customHeight="1">
      <c r="A30" s="270" t="s">
        <v>191</v>
      </c>
      <c r="B30" s="195">
        <v>0</v>
      </c>
      <c r="C30" s="195">
        <v>0</v>
      </c>
      <c r="D30" s="195">
        <v>0</v>
      </c>
      <c r="E30" s="195">
        <v>0</v>
      </c>
      <c r="F30" s="195">
        <f>SUM(B30:E30)</f>
        <v>0</v>
      </c>
    </row>
    <row r="31" spans="1:6" ht="15" customHeight="1" thickBot="1">
      <c r="A31" s="272" t="s">
        <v>163</v>
      </c>
      <c r="B31" s="147">
        <f>SUM(B28:B30)</f>
        <v>993447</v>
      </c>
      <c r="C31" s="147">
        <f>SUM(C28:C30)</f>
        <v>723273</v>
      </c>
      <c r="D31" s="147">
        <f>SUM(D28:D30)</f>
        <v>330637</v>
      </c>
      <c r="E31" s="228">
        <f>SUM(E28:E30)</f>
        <v>0</v>
      </c>
      <c r="F31" s="273">
        <f>SUM(F28:F30)</f>
        <v>2047357</v>
      </c>
    </row>
    <row r="32" spans="1:6" s="282" customFormat="1" ht="15" customHeight="1" thickTop="1">
      <c r="A32" s="267"/>
      <c r="B32" s="280"/>
      <c r="C32" s="280"/>
      <c r="D32" s="280"/>
      <c r="E32" s="280"/>
      <c r="F32" s="281"/>
    </row>
    <row r="33" spans="1:6" ht="15" customHeight="1">
      <c r="A33" s="267" t="s">
        <v>195</v>
      </c>
      <c r="B33" s="274"/>
      <c r="C33" s="274"/>
      <c r="D33" s="274"/>
      <c r="E33" s="275"/>
      <c r="F33" s="276"/>
    </row>
    <row r="34" spans="1:6" ht="15" customHeight="1">
      <c r="A34" s="270" t="s">
        <v>189</v>
      </c>
      <c r="B34" s="283">
        <f aca="true" t="shared" si="0" ref="B34:E36">B9+B15+B21-B28</f>
        <v>1031609</v>
      </c>
      <c r="C34" s="283">
        <f t="shared" si="0"/>
        <v>11719</v>
      </c>
      <c r="D34" s="283">
        <f t="shared" si="0"/>
        <v>-45937</v>
      </c>
      <c r="E34" s="195">
        <f t="shared" si="0"/>
        <v>0</v>
      </c>
      <c r="F34" s="283">
        <f>SUM(B34:E34)</f>
        <v>997391</v>
      </c>
    </row>
    <row r="35" spans="1:6" ht="15" customHeight="1">
      <c r="A35" s="270" t="s">
        <v>190</v>
      </c>
      <c r="B35" s="283">
        <f t="shared" si="0"/>
        <v>45417</v>
      </c>
      <c r="C35" s="283">
        <f t="shared" si="0"/>
        <v>-29401</v>
      </c>
      <c r="D35" s="283">
        <f t="shared" si="0"/>
        <v>-40928</v>
      </c>
      <c r="E35" s="195">
        <f t="shared" si="0"/>
        <v>0</v>
      </c>
      <c r="F35" s="283">
        <f>SUM(B35:E35)</f>
        <v>-24912</v>
      </c>
    </row>
    <row r="36" spans="1:6" ht="15" customHeight="1">
      <c r="A36" s="270" t="s">
        <v>191</v>
      </c>
      <c r="B36" s="195">
        <f t="shared" si="0"/>
        <v>0</v>
      </c>
      <c r="C36" s="195">
        <f t="shared" si="0"/>
        <v>0</v>
      </c>
      <c r="D36" s="195">
        <f t="shared" si="0"/>
        <v>0</v>
      </c>
      <c r="E36" s="195">
        <f t="shared" si="0"/>
        <v>0</v>
      </c>
      <c r="F36" s="195">
        <f>SUM(B36:E36)</f>
        <v>0</v>
      </c>
    </row>
    <row r="37" spans="1:6" ht="15" customHeight="1" thickBot="1">
      <c r="A37" s="272" t="s">
        <v>163</v>
      </c>
      <c r="B37" s="284">
        <f>SUM(B34:B36)</f>
        <v>1077026</v>
      </c>
      <c r="C37" s="284">
        <f>SUM(C34:C36)</f>
        <v>-17682</v>
      </c>
      <c r="D37" s="284">
        <f>SUM(D34:D36)</f>
        <v>-86865</v>
      </c>
      <c r="E37" s="239">
        <f>SUM(E34:E36)</f>
        <v>0</v>
      </c>
      <c r="F37" s="284">
        <f>SUM(F34:F36)</f>
        <v>972479</v>
      </c>
    </row>
    <row r="38" spans="2:6" ht="15" customHeight="1" thickTop="1">
      <c r="B38" s="279"/>
      <c r="C38" s="279"/>
      <c r="D38" s="279"/>
      <c r="F38" s="286"/>
    </row>
    <row r="39" spans="1:6" s="290" customFormat="1" ht="15" customHeight="1">
      <c r="A39" s="287"/>
      <c r="B39" s="288"/>
      <c r="C39" s="288"/>
      <c r="D39" s="288"/>
      <c r="E39" s="289"/>
      <c r="F39" s="286"/>
    </row>
    <row r="40" spans="2:4" ht="15" customHeight="1">
      <c r="B40" s="268"/>
      <c r="C40" s="268"/>
      <c r="D40" s="268"/>
    </row>
    <row r="41" spans="2:4" ht="15" customHeight="1">
      <c r="B41" s="268"/>
      <c r="C41" s="268"/>
      <c r="D41" s="268"/>
    </row>
    <row r="42" spans="2:4" ht="15" customHeight="1">
      <c r="B42" s="268"/>
      <c r="C42" s="268"/>
      <c r="D42" s="268"/>
    </row>
    <row r="43" spans="1:4" ht="15" customHeight="1">
      <c r="A43" s="260"/>
      <c r="B43" s="268"/>
      <c r="C43" s="268"/>
      <c r="D43" s="268"/>
    </row>
    <row r="44" spans="1:4" ht="15" customHeight="1">
      <c r="A44" s="260"/>
      <c r="B44" s="268"/>
      <c r="C44" s="268"/>
      <c r="D44" s="268"/>
    </row>
    <row r="45" spans="1:4" ht="15" customHeight="1">
      <c r="A45" s="260"/>
      <c r="B45" s="268"/>
      <c r="C45" s="268"/>
      <c r="D45" s="268"/>
    </row>
    <row r="46" spans="1:4" ht="15" customHeight="1">
      <c r="A46" s="260"/>
      <c r="B46" s="268"/>
      <c r="C46" s="268"/>
      <c r="D46" s="268"/>
    </row>
    <row r="47" spans="1:4" ht="15" customHeight="1">
      <c r="A47" s="260"/>
      <c r="B47" s="268"/>
      <c r="C47" s="268"/>
      <c r="D47" s="268"/>
    </row>
    <row r="48" spans="1:4" ht="15" customHeight="1">
      <c r="A48" s="260"/>
      <c r="B48" s="268"/>
      <c r="C48" s="268"/>
      <c r="D48" s="268"/>
    </row>
    <row r="49" spans="1:4" s="190" customFormat="1" ht="15" customHeight="1">
      <c r="A49" s="260"/>
      <c r="B49" s="268"/>
      <c r="C49" s="268"/>
      <c r="D49" s="268"/>
    </row>
    <row r="50" spans="1:4" s="190" customFormat="1" ht="15" customHeight="1">
      <c r="A50" s="260"/>
      <c r="B50" s="268"/>
      <c r="C50" s="268"/>
      <c r="D50" s="268"/>
    </row>
    <row r="51" spans="1:4" s="190" customFormat="1" ht="15" customHeight="1">
      <c r="A51" s="260"/>
      <c r="B51" s="268"/>
      <c r="C51" s="268"/>
      <c r="D51" s="268"/>
    </row>
    <row r="52" spans="1:4" s="190" customFormat="1" ht="15" customHeight="1">
      <c r="A52" s="260"/>
      <c r="B52" s="268"/>
      <c r="C52" s="268"/>
      <c r="D52" s="268"/>
    </row>
    <row r="53" spans="1:4" s="190" customFormat="1" ht="15" customHeight="1">
      <c r="A53" s="260"/>
      <c r="B53" s="268"/>
      <c r="C53" s="268"/>
      <c r="D53" s="268"/>
    </row>
    <row r="54" spans="1:4" s="190" customFormat="1" ht="15" customHeight="1">
      <c r="A54" s="260"/>
      <c r="B54" s="268"/>
      <c r="C54" s="268"/>
      <c r="D54" s="268"/>
    </row>
    <row r="55" spans="1:4" s="190" customFormat="1" ht="15" customHeight="1">
      <c r="A55" s="260"/>
      <c r="B55" s="291"/>
      <c r="C55" s="291"/>
      <c r="D55" s="291"/>
    </row>
    <row r="56" spans="1:4" s="190" customFormat="1" ht="15" customHeight="1">
      <c r="A56" s="260"/>
      <c r="B56" s="291"/>
      <c r="C56" s="291"/>
      <c r="D56" s="291"/>
    </row>
    <row r="57" spans="1:4" s="190" customFormat="1" ht="15" customHeight="1">
      <c r="A57" s="260"/>
      <c r="B57" s="291"/>
      <c r="C57" s="291"/>
      <c r="D57" s="291"/>
    </row>
    <row r="58" spans="1:4" s="190" customFormat="1" ht="15" customHeight="1">
      <c r="A58" s="260"/>
      <c r="B58" s="291"/>
      <c r="C58" s="291"/>
      <c r="D58" s="291"/>
    </row>
    <row r="59" spans="1:4" s="190" customFormat="1" ht="15" customHeight="1">
      <c r="A59" s="260"/>
      <c r="B59" s="291"/>
      <c r="C59" s="291"/>
      <c r="D59" s="291"/>
    </row>
    <row r="60" spans="1:4" s="190" customFormat="1" ht="15" customHeight="1">
      <c r="A60" s="260"/>
      <c r="B60" s="291"/>
      <c r="C60" s="291"/>
      <c r="D60" s="291"/>
    </row>
    <row r="61" spans="1:4" s="190" customFormat="1" ht="15" customHeight="1">
      <c r="A61" s="260"/>
      <c r="B61" s="291"/>
      <c r="C61" s="291"/>
      <c r="D61" s="291"/>
    </row>
    <row r="62" spans="1:4" s="190" customFormat="1" ht="15" customHeight="1">
      <c r="A62" s="260"/>
      <c r="B62" s="291"/>
      <c r="C62" s="291"/>
      <c r="D62" s="291"/>
    </row>
    <row r="63" spans="1:4" s="190" customFormat="1" ht="15" customHeight="1">
      <c r="A63" s="260"/>
      <c r="B63" s="291"/>
      <c r="C63" s="291"/>
      <c r="D63" s="291"/>
    </row>
    <row r="64" spans="1:4" s="190" customFormat="1" ht="15" customHeight="1">
      <c r="A64" s="260"/>
      <c r="B64" s="291"/>
      <c r="C64" s="291"/>
      <c r="D64" s="291"/>
    </row>
    <row r="65" s="190" customFormat="1" ht="15" customHeight="1">
      <c r="A65" s="260"/>
    </row>
    <row r="66" s="190" customFormat="1" ht="15" customHeight="1">
      <c r="A66" s="260"/>
    </row>
    <row r="67" s="190" customFormat="1" ht="15" customHeight="1">
      <c r="A67" s="260"/>
    </row>
    <row r="68" s="190" customFormat="1" ht="15" customHeight="1">
      <c r="A68" s="260"/>
    </row>
    <row r="69" s="190" customFormat="1" ht="15" customHeight="1">
      <c r="A69" s="260"/>
    </row>
    <row r="70" s="190" customFormat="1" ht="15" customHeight="1">
      <c r="A70" s="260"/>
    </row>
    <row r="71" s="190" customFormat="1" ht="15" customHeight="1">
      <c r="A71" s="260"/>
    </row>
    <row r="72" s="190" customFormat="1" ht="15" customHeight="1">
      <c r="A72" s="260"/>
    </row>
    <row r="73" s="190" customFormat="1" ht="15" customHeight="1">
      <c r="A73" s="260"/>
    </row>
    <row r="74" s="190" customFormat="1" ht="15" customHeight="1">
      <c r="A74" s="260"/>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cp:lastPrinted>2016-02-12T15:54:16Z</cp:lastPrinted>
  <dcterms:created xsi:type="dcterms:W3CDTF">2016-02-12T15:51:03Z</dcterms:created>
  <dcterms:modified xsi:type="dcterms:W3CDTF">2016-02-12T15:55:01Z</dcterms:modified>
  <cp:category/>
  <cp:version/>
  <cp:contentType/>
  <cp:contentStatus/>
</cp:coreProperties>
</file>